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65521" yWindow="1500" windowWidth="15390" windowHeight="9000" activeTab="0"/>
  </bookViews>
  <sheets>
    <sheet name="Enter details and see results" sheetId="1" r:id="rId1"/>
    <sheet name="Generic (2)" sheetId="2" state="hidden" r:id="rId2"/>
    <sheet name="Look-up table" sheetId="3" state="hidden" r:id="rId3"/>
  </sheets>
  <definedNames>
    <definedName name="_xlnm.Print_Area" localSheetId="1">'Generic (2)'!$A$1:$H$22</definedName>
  </definedNames>
  <calcPr fullCalcOnLoad="1"/>
</workbook>
</file>

<file path=xl/sharedStrings.xml><?xml version="1.0" encoding="utf-8"?>
<sst xmlns="http://schemas.openxmlformats.org/spreadsheetml/2006/main" count="66" uniqueCount="63">
  <si>
    <t>£m</t>
  </si>
  <si>
    <t>Average Increase</t>
  </si>
  <si>
    <t>Pensionable paybill</t>
  </si>
  <si>
    <t>% of paybill in tier</t>
  </si>
  <si>
    <t>Number in tier</t>
  </si>
  <si>
    <t>Top of Tier</t>
  </si>
  <si>
    <t>Bottom of Tier</t>
  </si>
  <si>
    <t>Increase A</t>
  </si>
  <si>
    <t>Increase B</t>
  </si>
  <si>
    <t>Civil Service pension scheme  - options for increasing contributions</t>
  </si>
  <si>
    <t>Total scheme membership</t>
  </si>
  <si>
    <t>increase A</t>
  </si>
  <si>
    <t>increase B</t>
  </si>
  <si>
    <t>staff % in tier</t>
  </si>
  <si>
    <t>staff % in tier - cum</t>
  </si>
  <si>
    <t>paybill cum%</t>
  </si>
  <si>
    <t>Salary</t>
  </si>
  <si>
    <t>extra contribs</t>
  </si>
  <si>
    <t>FTE Salary</t>
  </si>
  <si>
    <t>Number of Civil Servants*</t>
  </si>
  <si>
    <t>Full Time Equivalent*</t>
  </si>
  <si>
    <t>Total Paid in Salary (£, thousands)</t>
  </si>
  <si>
    <t>Prop of total paybill</t>
  </si>
  <si>
    <t>Cumulative paybill</t>
  </si>
  <si>
    <t>Proportion of staff</t>
  </si>
  <si>
    <t>Cum proportion of staff</t>
  </si>
  <si>
    <t>Total</t>
  </si>
  <si>
    <t>tax rate</t>
  </si>
  <si>
    <t>Max contribution set at 7%; low earners protected to some extent</t>
  </si>
  <si>
    <t>Top of range</t>
  </si>
  <si>
    <t>classic members</t>
  </si>
  <si>
    <t>now</t>
  </si>
  <si>
    <t>Bottom of range</t>
  </si>
  <si>
    <t>Your pensionable salary?</t>
  </si>
  <si>
    <t>classic</t>
  </si>
  <si>
    <t>premium</t>
  </si>
  <si>
    <t>classic plus</t>
  </si>
  <si>
    <t>nuvos</t>
  </si>
  <si>
    <t>Your income tax rate</t>
  </si>
  <si>
    <t>full-time rate</t>
  </si>
  <si>
    <t>PT fraction</t>
  </si>
  <si>
    <t>scheme</t>
  </si>
  <si>
    <t>basic contribution</t>
  </si>
  <si>
    <t>If part-time, part-time fraction</t>
  </si>
  <si>
    <t>eg 0.6 for 3-day week</t>
  </si>
  <si>
    <t>Monthly cost 2012-13</t>
  </si>
  <si>
    <t xml:space="preserve">These figures assume your pay and </t>
  </si>
  <si>
    <t>tax details don't change</t>
  </si>
  <si>
    <t>Monthly cost (after tax) of pension now</t>
  </si>
  <si>
    <t>premium, classic plus and nuvos members</t>
  </si>
  <si>
    <t>PCSPS employee contribution rates including the additional contributions</t>
  </si>
  <si>
    <t>Additional contribution %</t>
  </si>
  <si>
    <t>Your pension scheme?</t>
  </si>
  <si>
    <t>You can try changing the blue boxes for "top of range" and "additional contributions"</t>
  </si>
  <si>
    <t>Full-time pay rate</t>
  </si>
  <si>
    <t>This calculator is intended to show the effect of the proposed additional pension contributions</t>
  </si>
  <si>
    <t xml:space="preserve">You can use the calculator to see the effect on your pay.  </t>
  </si>
  <si>
    <t>Full-time pay range</t>
  </si>
  <si>
    <t>Average contribution</t>
  </si>
  <si>
    <t>Enter your own details to see the effect on your pay</t>
  </si>
  <si>
    <t>These numbers will only display if the average contribution is approx 1.3%</t>
  </si>
  <si>
    <t>You can also use the calculator to see how else the required contributions could be delivered</t>
  </si>
  <si>
    <t>pre-Fresh Start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</si>
</sst>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_-;\-&quot;£&quot;* #,##0_-;_-&quot;£&quot;* &quot;-&quot;??_-;_-@_-"/>
    <numFmt numFmtId="166" formatCode="0.0"/>
    <numFmt numFmtId="167" formatCode="&quot;£&quot;#,##0"/>
    <numFmt numFmtId="168" formatCode="&quot;£&quot;#,##0.00"/>
    <numFmt numFmtId="169" formatCode="&quot;£&quot;#,##0.0"/>
    <numFmt numFmtId="170" formatCode="mmm\-yyyy"/>
    <numFmt numFmtId="171" formatCode="0;\-0;;@"/>
    <numFmt numFmtId="172" formatCode="0.0;\-0.0;;@"/>
    <numFmt numFmtId="173" formatCode="0.00;\-0.00;;@"/>
    <numFmt numFmtId="174" formatCode="0.00_ ;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13" xfId="0" applyNumberFormat="1" applyFill="1" applyBorder="1" applyAlignment="1">
      <alignment wrapText="1"/>
    </xf>
    <xf numFmtId="166" fontId="0" fillId="0" borderId="0" xfId="0" applyNumberFormat="1" applyAlignment="1">
      <alignment/>
    </xf>
    <xf numFmtId="10" fontId="0" fillId="32" borderId="0" xfId="0" applyNumberFormat="1" applyFill="1" applyAlignment="1">
      <alignment/>
    </xf>
    <xf numFmtId="10" fontId="0" fillId="0" borderId="10" xfId="0" applyNumberForma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/>
    </xf>
    <xf numFmtId="10" fontId="4" fillId="34" borderId="0" xfId="0" applyNumberFormat="1" applyFont="1" applyFill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33" borderId="14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/>
    </xf>
    <xf numFmtId="165" fontId="1" fillId="0" borderId="10" xfId="44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168" fontId="0" fillId="32" borderId="17" xfId="0" applyNumberForma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168" fontId="0" fillId="32" borderId="20" xfId="0" applyNumberFormat="1" applyFill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21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170" fontId="0" fillId="0" borderId="21" xfId="0" applyNumberFormat="1" applyBorder="1" applyAlignment="1">
      <alignment horizontal="center" wrapText="1"/>
    </xf>
    <xf numFmtId="0" fontId="0" fillId="0" borderId="13" xfId="0" applyBorder="1" applyAlignment="1">
      <alignment/>
    </xf>
    <xf numFmtId="172" fontId="0" fillId="0" borderId="0" xfId="0" applyNumberFormat="1" applyFill="1" applyBorder="1" applyAlignment="1">
      <alignment horizontal="center"/>
    </xf>
    <xf numFmtId="172" fontId="0" fillId="0" borderId="2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9" xfId="0" applyBorder="1" applyAlignment="1">
      <alignment/>
    </xf>
    <xf numFmtId="0" fontId="0" fillId="35" borderId="13" xfId="0" applyFill="1" applyBorder="1" applyAlignment="1">
      <alignment horizontal="center"/>
    </xf>
    <xf numFmtId="167" fontId="0" fillId="35" borderId="0" xfId="0" applyNumberFormat="1" applyFill="1" applyBorder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167" fontId="0" fillId="35" borderId="13" xfId="0" applyNumberFormat="1" applyFill="1" applyBorder="1" applyAlignment="1">
      <alignment horizontal="center"/>
    </xf>
    <xf numFmtId="167" fontId="0" fillId="2" borderId="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67" fontId="0" fillId="3" borderId="10" xfId="0" applyNumberFormat="1" applyFill="1" applyBorder="1" applyAlignment="1" applyProtection="1">
      <alignment horizontal="center"/>
      <protection locked="0"/>
    </xf>
    <xf numFmtId="4" fontId="0" fillId="3" borderId="10" xfId="0" applyNumberFormat="1" applyFill="1" applyBorder="1" applyAlignment="1" applyProtection="1">
      <alignment horizontal="center"/>
      <protection locked="0"/>
    </xf>
    <xf numFmtId="9" fontId="0" fillId="3" borderId="10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73" fontId="0" fillId="18" borderId="0" xfId="0" applyNumberFormat="1" applyFill="1" applyBorder="1" applyAlignment="1">
      <alignment horizontal="center"/>
    </xf>
    <xf numFmtId="173" fontId="0" fillId="18" borderId="21" xfId="0" applyNumberFormat="1" applyFill="1" applyBorder="1" applyAlignment="1">
      <alignment horizontal="center"/>
    </xf>
    <xf numFmtId="173" fontId="0" fillId="10" borderId="0" xfId="0" applyNumberFormat="1" applyFill="1" applyBorder="1" applyAlignment="1">
      <alignment horizontal="center"/>
    </xf>
    <xf numFmtId="173" fontId="0" fillId="10" borderId="21" xfId="0" applyNumberFormat="1" applyFill="1" applyBorder="1" applyAlignment="1">
      <alignment horizontal="center"/>
    </xf>
    <xf numFmtId="173" fontId="0" fillId="10" borderId="19" xfId="0" applyNumberFormat="1" applyFill="1" applyBorder="1" applyAlignment="1">
      <alignment horizontal="center"/>
    </xf>
    <xf numFmtId="173" fontId="0" fillId="10" borderId="20" xfId="0" applyNumberForma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66" fontId="0" fillId="35" borderId="12" xfId="0" applyNumberForma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1" fillId="0" borderId="11" xfId="59" applyNumberFormat="1" applyFont="1" applyBorder="1" applyAlignment="1">
      <alignment horizontal="center"/>
    </xf>
    <xf numFmtId="164" fontId="1" fillId="0" borderId="12" xfId="59" applyNumberFormat="1" applyFont="1" applyBorder="1" applyAlignment="1">
      <alignment horizontal="center"/>
    </xf>
    <xf numFmtId="169" fontId="1" fillId="0" borderId="11" xfId="59" applyNumberFormat="1" applyFont="1" applyBorder="1" applyAlignment="1">
      <alignment horizontal="center"/>
    </xf>
    <xf numFmtId="169" fontId="1" fillId="0" borderId="12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indowProtection="1" showGridLines="0" showRowColHeaders="0" tabSelected="1" zoomScalePageLayoutView="0" workbookViewId="0" topLeftCell="A1">
      <selection activeCell="F11" sqref="F11"/>
    </sheetView>
  </sheetViews>
  <sheetFormatPr defaultColWidth="9.140625" defaultRowHeight="15"/>
  <cols>
    <col min="1" max="1" width="7.57421875" style="0" customWidth="1"/>
    <col min="2" max="2" width="13.00390625" style="0" customWidth="1"/>
    <col min="3" max="3" width="10.00390625" style="0" customWidth="1"/>
    <col min="4" max="4" width="10.140625" style="0" customWidth="1"/>
    <col min="5" max="5" width="2.57421875" style="0" customWidth="1"/>
    <col min="6" max="6" width="14.00390625" style="0" customWidth="1"/>
    <col min="7" max="7" width="1.8515625" style="0" customWidth="1"/>
    <col min="8" max="8" width="31.00390625" style="0" customWidth="1"/>
    <col min="9" max="9" width="12.421875" style="0" customWidth="1"/>
    <col min="10" max="10" width="25.00390625" style="0" customWidth="1"/>
    <col min="11" max="11" width="3.7109375" style="0" customWidth="1"/>
    <col min="15" max="15" width="9.140625" style="0" hidden="1" customWidth="1"/>
  </cols>
  <sheetData>
    <row r="1" ht="18.75">
      <c r="A1" s="43" t="s">
        <v>55</v>
      </c>
    </row>
    <row r="2" ht="15">
      <c r="A2" t="s">
        <v>56</v>
      </c>
    </row>
    <row r="3" ht="15">
      <c r="A3" t="s">
        <v>61</v>
      </c>
    </row>
    <row r="4" spans="3:13" ht="36.75" customHeight="1">
      <c r="C4" s="29" t="s">
        <v>54</v>
      </c>
      <c r="J4" s="86" t="s">
        <v>50</v>
      </c>
      <c r="K4" s="87"/>
      <c r="L4" s="87"/>
      <c r="M4" s="88"/>
    </row>
    <row r="5" spans="3:15" s="30" customFormat="1" ht="36.75" customHeight="1">
      <c r="C5" s="31" t="s">
        <v>32</v>
      </c>
      <c r="D5" s="82" t="s">
        <v>29</v>
      </c>
      <c r="E5" s="75"/>
      <c r="F5" s="32" t="s">
        <v>51</v>
      </c>
      <c r="J5" s="46" t="s">
        <v>49</v>
      </c>
      <c r="K5" s="47"/>
      <c r="L5" s="47"/>
      <c r="M5" s="48"/>
      <c r="O5" s="30" t="s">
        <v>34</v>
      </c>
    </row>
    <row r="6" spans="3:15" ht="15">
      <c r="C6" s="59">
        <v>0</v>
      </c>
      <c r="D6" s="60">
        <v>15000</v>
      </c>
      <c r="E6" s="6"/>
      <c r="F6" s="61">
        <v>0</v>
      </c>
      <c r="G6" s="34">
        <f>IF(F6&gt;0,"no additional contributions permitted","")</f>
      </c>
      <c r="J6" s="84" t="s">
        <v>57</v>
      </c>
      <c r="K6" s="49"/>
      <c r="L6" s="50" t="s">
        <v>31</v>
      </c>
      <c r="M6" s="51">
        <v>41000</v>
      </c>
      <c r="O6" t="s">
        <v>35</v>
      </c>
    </row>
    <row r="7" spans="3:15" ht="15">
      <c r="C7" s="62">
        <f aca="true" t="shared" si="0" ref="C7:C12">IF(D6&gt;0,D6+1,"")</f>
        <v>15001</v>
      </c>
      <c r="D7" s="63">
        <v>21000</v>
      </c>
      <c r="E7" s="6"/>
      <c r="F7" s="64">
        <v>0.6</v>
      </c>
      <c r="G7" s="34">
        <f>IF(F7&gt;0.6,"contributions cannot be higher than 0.6%","")</f>
      </c>
      <c r="J7" s="70" t="str">
        <f>"up to "&amp;TEXT($D$6,"£#,###")</f>
        <v>up to £15,000</v>
      </c>
      <c r="K7" s="49"/>
      <c r="L7" s="76">
        <f aca="true" t="shared" si="1" ref="L7:L13">IF(C6&lt;&gt;"",3.5,0)</f>
        <v>3.5</v>
      </c>
      <c r="M7" s="77">
        <f aca="true" t="shared" si="2" ref="M7:M12">L7+F6</f>
        <v>3.5</v>
      </c>
      <c r="O7" t="s">
        <v>36</v>
      </c>
    </row>
    <row r="8" spans="3:15" ht="15">
      <c r="C8" s="62">
        <f t="shared" si="0"/>
        <v>21001</v>
      </c>
      <c r="D8" s="63">
        <v>30000</v>
      </c>
      <c r="E8" s="6"/>
      <c r="F8" s="64">
        <v>1.2</v>
      </c>
      <c r="G8" s="34">
        <f>IF(F8&gt;2.4,"contributions cannot be higher than 2.4%","")</f>
      </c>
      <c r="J8" s="70" t="str">
        <f>IF($D$7&gt;0,TEXT($C$7,"£#,###")&amp;" to "&amp;TEXT($D$7,"£#,###"),IF($C$7=""," ",TEXT($C$7,"£#,###")&amp;" and over"))</f>
        <v>£15,001 to £21,000</v>
      </c>
      <c r="K8" s="49"/>
      <c r="L8" s="76">
        <f t="shared" si="1"/>
        <v>3.5</v>
      </c>
      <c r="M8" s="77">
        <f t="shared" si="2"/>
        <v>4.1</v>
      </c>
      <c r="O8" t="s">
        <v>37</v>
      </c>
    </row>
    <row r="9" spans="3:15" ht="15">
      <c r="C9" s="62">
        <f t="shared" si="0"/>
        <v>30001</v>
      </c>
      <c r="D9" s="63">
        <v>50000</v>
      </c>
      <c r="E9" s="6"/>
      <c r="F9" s="64">
        <v>1.6</v>
      </c>
      <c r="G9" s="34">
        <f>IF(F9&gt;2.4,"contributions cannot be higher than 2.4%","")</f>
      </c>
      <c r="J9" s="70" t="str">
        <f>IF($D$8&gt;0,TEXT($C$8,"£#,###")&amp;" to "&amp;TEXT($D$8,"£#,###"),IF($C$8=""," ",TEXT($C$8,"£#,###")&amp;" and over"))</f>
        <v>£21,001 to £30,000</v>
      </c>
      <c r="K9" s="49"/>
      <c r="L9" s="76">
        <f t="shared" si="1"/>
        <v>3.5</v>
      </c>
      <c r="M9" s="77">
        <f t="shared" si="2"/>
        <v>4.7</v>
      </c>
      <c r="O9" t="s">
        <v>62</v>
      </c>
    </row>
    <row r="10" spans="3:15" ht="15">
      <c r="C10" s="62">
        <f t="shared" si="0"/>
        <v>50001</v>
      </c>
      <c r="D10" s="63">
        <v>60000</v>
      </c>
      <c r="E10" s="6"/>
      <c r="F10" s="64">
        <v>2</v>
      </c>
      <c r="G10" s="34">
        <f>IF(F10&gt;2.4,"contributions cannot be higher than 2.4%","")</f>
      </c>
      <c r="J10" s="70" t="str">
        <f>IF($D$9&gt;0,TEXT($C$9,"£#,###")&amp;" to "&amp;TEXT($D$9,"£#,###"),IF($C$9=""," ",TEXT($C$9,"£#,###")&amp;" and over"))</f>
        <v>£30,001 to £50,000</v>
      </c>
      <c r="K10" s="49"/>
      <c r="L10" s="76">
        <f t="shared" si="1"/>
        <v>3.5</v>
      </c>
      <c r="M10" s="77">
        <f t="shared" si="2"/>
        <v>5.1</v>
      </c>
      <c r="O10" s="11">
        <v>0.2</v>
      </c>
    </row>
    <row r="11" spans="3:15" ht="15">
      <c r="C11" s="62">
        <f t="shared" si="0"/>
        <v>60001</v>
      </c>
      <c r="D11" s="63"/>
      <c r="E11" s="6"/>
      <c r="F11" s="64">
        <v>2.4</v>
      </c>
      <c r="G11" s="34">
        <f>IF(F11&gt;2.4,"contributions cannot be higher than 2.4%","")</f>
      </c>
      <c r="J11" s="70" t="str">
        <f>IF($D$10&gt;0,TEXT($C$10,"£#,###")&amp;" to "&amp;TEXT($D$10,"£#,###"),IF($C$10=""," ",TEXT($C$10,"£#,###")&amp;" and over"))</f>
        <v>£50,001 to £60,000</v>
      </c>
      <c r="K11" s="49"/>
      <c r="L11" s="76">
        <f t="shared" si="1"/>
        <v>3.5</v>
      </c>
      <c r="M11" s="77">
        <f t="shared" si="2"/>
        <v>5.5</v>
      </c>
      <c r="O11" s="11">
        <v>0.4</v>
      </c>
    </row>
    <row r="12" spans="3:15" ht="15">
      <c r="C12" s="62">
        <f t="shared" si="0"/>
      </c>
      <c r="D12" s="63"/>
      <c r="E12" s="6"/>
      <c r="F12" s="64"/>
      <c r="G12" s="34">
        <f>IF(F12&gt;2.4,"contributions cannot be higher than 2.4%","")</f>
      </c>
      <c r="J12" s="70" t="str">
        <f>IF($D$11&gt;0,TEXT($C$11,"£#,###")&amp;" to "&amp;TEXT($D$11,"£#,###"),IF($C$11=""," ",TEXT($C$11,"£#,###")&amp;" and over"))</f>
        <v>£60,001 and over</v>
      </c>
      <c r="K12" s="49"/>
      <c r="L12" s="76">
        <f t="shared" si="1"/>
        <v>3.5</v>
      </c>
      <c r="M12" s="77">
        <f t="shared" si="2"/>
        <v>5.9</v>
      </c>
      <c r="O12" s="11">
        <v>0.5</v>
      </c>
    </row>
    <row r="13" spans="3:13" ht="15">
      <c r="C13" s="72"/>
      <c r="D13" s="73" t="s">
        <v>58</v>
      </c>
      <c r="E13" s="74"/>
      <c r="F13" s="83">
        <f>'Generic (2)'!B20*100</f>
        <v>1.2607933711609696</v>
      </c>
      <c r="G13" s="34" t="str">
        <f>IF(OR(F13&lt;1.251,F13&gt;1.34),"contributions must average approx 1.3%"," ")</f>
        <v> </v>
      </c>
      <c r="J13" s="70" t="str">
        <f>IF($D$12&gt;0,TEXT($C$12,"£#,###")&amp;" to "&amp;TEXT($D$12,"£#,###"),IF($C$12=""," ",TEXT($C$12,"£#,###")&amp;" and over"))</f>
        <v> </v>
      </c>
      <c r="K13" s="6"/>
      <c r="L13" s="76">
        <f t="shared" si="1"/>
        <v>0</v>
      </c>
      <c r="M13" s="77">
        <f>L13+F12*0.4</f>
        <v>0</v>
      </c>
    </row>
    <row r="14" spans="2:13" ht="23.25" customHeight="1">
      <c r="B14" s="69" t="s">
        <v>53</v>
      </c>
      <c r="D14" s="33"/>
      <c r="F14" s="44"/>
      <c r="G14" s="34"/>
      <c r="J14" s="52"/>
      <c r="K14" s="6"/>
      <c r="L14" s="53"/>
      <c r="M14" s="54"/>
    </row>
    <row r="15" spans="6:13" ht="15">
      <c r="F15" s="28"/>
      <c r="J15" s="52"/>
      <c r="K15" s="6"/>
      <c r="L15" s="55"/>
      <c r="M15" s="56"/>
    </row>
    <row r="16" spans="2:13" ht="15.75">
      <c r="B16" s="69" t="s">
        <v>59</v>
      </c>
      <c r="F16" s="28"/>
      <c r="J16" s="57" t="s">
        <v>30</v>
      </c>
      <c r="K16" s="6"/>
      <c r="L16" s="6"/>
      <c r="M16" s="56"/>
    </row>
    <row r="17" spans="10:13" ht="15">
      <c r="J17" s="85" t="s">
        <v>57</v>
      </c>
      <c r="K17" s="6"/>
      <c r="L17" s="50" t="s">
        <v>31</v>
      </c>
      <c r="M17" s="51">
        <v>41000</v>
      </c>
    </row>
    <row r="18" spans="2:13" ht="15">
      <c r="B18" t="s">
        <v>52</v>
      </c>
      <c r="F18" s="65" t="s">
        <v>34</v>
      </c>
      <c r="J18" s="70" t="str">
        <f>"up to "&amp;TEXT($D$6,"£#,###")</f>
        <v>up to £15,000</v>
      </c>
      <c r="K18" s="6"/>
      <c r="L18" s="78">
        <f>IF(C6&lt;&gt;"",1.5,0)</f>
        <v>1.5</v>
      </c>
      <c r="M18" s="79">
        <f aca="true" t="shared" si="3" ref="M18:M23">L18+F6</f>
        <v>1.5</v>
      </c>
    </row>
    <row r="19" spans="6:13" ht="15">
      <c r="F19" s="28"/>
      <c r="I19" s="36"/>
      <c r="J19" s="70" t="str">
        <f>IF($D$7&gt;0,TEXT($C$7,"£#,###")&amp;" to "&amp;TEXT($D$7,"£#,###"),IF($C$7=""," ",TEXT($C$7,"£#,###")&amp;" and over"))</f>
        <v>£15,001 to £21,000</v>
      </c>
      <c r="K19" s="6"/>
      <c r="L19" s="78">
        <f aca="true" t="shared" si="4" ref="L19:L24">IF(C7&lt;&gt;"",1.5,0)</f>
        <v>1.5</v>
      </c>
      <c r="M19" s="79">
        <f t="shared" si="3"/>
        <v>2.1</v>
      </c>
    </row>
    <row r="20" spans="2:13" ht="15">
      <c r="B20" t="s">
        <v>33</v>
      </c>
      <c r="F20" s="66"/>
      <c r="H20" s="36" t="s">
        <v>39</v>
      </c>
      <c r="I20" s="36"/>
      <c r="J20" s="70" t="str">
        <f>IF($D$8&gt;0,TEXT($C$8,"£#,###")&amp;" to "&amp;TEXT($D$8,"£#,###"),IF($C$8=""," ",TEXT($C$8,"£#,###")&amp;" and over"))</f>
        <v>£21,001 to £30,000</v>
      </c>
      <c r="K20" s="6"/>
      <c r="L20" s="78">
        <f t="shared" si="4"/>
        <v>1.5</v>
      </c>
      <c r="M20" s="79">
        <f t="shared" si="3"/>
        <v>2.7</v>
      </c>
    </row>
    <row r="21" spans="2:13" ht="15">
      <c r="B21" t="s">
        <v>43</v>
      </c>
      <c r="F21" s="67"/>
      <c r="H21" s="36" t="s">
        <v>44</v>
      </c>
      <c r="J21" s="70" t="str">
        <f>IF($D$9&gt;0,TEXT($C$9,"£#,###")&amp;" to "&amp;TEXT($D$9,"£#,###"),IF($C$9=""," ",TEXT($C$9,"£#,###")&amp;" and over"))</f>
        <v>£30,001 to £50,000</v>
      </c>
      <c r="K21" s="6"/>
      <c r="L21" s="78">
        <f t="shared" si="4"/>
        <v>1.5</v>
      </c>
      <c r="M21" s="79">
        <f t="shared" si="3"/>
        <v>3.1</v>
      </c>
    </row>
    <row r="22" spans="6:13" ht="15">
      <c r="F22" s="28"/>
      <c r="J22" s="70" t="str">
        <f>IF($D$10&gt;0,TEXT($C$10,"£#,###")&amp;" to "&amp;TEXT($D$10,"£#,###"),IF($C$10=""," ",TEXT($C$10,"£#,###")&amp;" and over"))</f>
        <v>£50,001 to £60,000</v>
      </c>
      <c r="K22" s="6"/>
      <c r="L22" s="78">
        <f t="shared" si="4"/>
        <v>1.5</v>
      </c>
      <c r="M22" s="79">
        <f t="shared" si="3"/>
        <v>3.5</v>
      </c>
    </row>
    <row r="23" spans="2:13" ht="15">
      <c r="B23" t="s">
        <v>38</v>
      </c>
      <c r="F23" s="68">
        <v>0.2</v>
      </c>
      <c r="J23" s="70" t="str">
        <f>IF($D$11&gt;0,TEXT($C$11,"£#,###")&amp;" to "&amp;TEXT($D$11,"£#,###"),IF($C$11=""," ",TEXT($C$11,"£#,###")&amp;" and over"))</f>
        <v>£60,001 and over</v>
      </c>
      <c r="K23" s="6"/>
      <c r="L23" s="78">
        <f t="shared" si="4"/>
        <v>1.5</v>
      </c>
      <c r="M23" s="79">
        <f t="shared" si="3"/>
        <v>3.9</v>
      </c>
    </row>
    <row r="24" spans="9:13" ht="15">
      <c r="I24" s="36"/>
      <c r="J24" s="71" t="str">
        <f>IF($D$12&gt;0,TEXT($C$12,"£#,###")&amp;" to "&amp;TEXT($D$12,"£#,###"),IF($C$12=""," ",TEXT($C$12,"£#,###")&amp;" and over"))</f>
        <v> </v>
      </c>
      <c r="K24" s="58"/>
      <c r="L24" s="80">
        <f t="shared" si="4"/>
        <v>0</v>
      </c>
      <c r="M24" s="81">
        <f>L24+F12*0.4</f>
        <v>0</v>
      </c>
    </row>
    <row r="25" spans="2:9" ht="16.5" customHeight="1">
      <c r="B25" s="37" t="s">
        <v>48</v>
      </c>
      <c r="C25" s="38"/>
      <c r="D25" s="38"/>
      <c r="E25" s="38"/>
      <c r="F25" s="39">
        <f>IF($G$13=" ",'Generic (2)'!C26," ")</f>
      </c>
      <c r="H25" s="36" t="s">
        <v>46</v>
      </c>
      <c r="I25" s="36"/>
    </row>
    <row r="26" spans="2:8" ht="16.5" customHeight="1">
      <c r="B26" s="40" t="s">
        <v>45</v>
      </c>
      <c r="C26" s="41"/>
      <c r="D26" s="41"/>
      <c r="E26" s="41"/>
      <c r="F26" s="42">
        <f>IF($G$13=" ",'Generic (2)'!C27," ")</f>
      </c>
      <c r="H26" s="36" t="s">
        <v>47</v>
      </c>
    </row>
    <row r="27" ht="15">
      <c r="B27" s="45" t="s">
        <v>60</v>
      </c>
    </row>
  </sheetData>
  <sheetProtection password="CADD" sheet="1" selectLockedCells="1"/>
  <mergeCells count="1">
    <mergeCell ref="J4:M4"/>
  </mergeCells>
  <dataValidations count="2">
    <dataValidation type="list" allowBlank="1" showInputMessage="1" showErrorMessage="1" sqref="F18">
      <formula1>$O$5:$O$9</formula1>
    </dataValidation>
    <dataValidation type="list" allowBlank="1" showInputMessage="1" showErrorMessage="1" sqref="F23">
      <formula1>$O$10:$O$12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indowProtection="1" zoomScalePageLayoutView="0" workbookViewId="0" topLeftCell="A1">
      <selection activeCell="D27" sqref="D27"/>
    </sheetView>
  </sheetViews>
  <sheetFormatPr defaultColWidth="9.140625" defaultRowHeight="15"/>
  <cols>
    <col min="1" max="1" width="17.57421875" style="0" customWidth="1"/>
    <col min="2" max="2" width="11.7109375" style="0" customWidth="1"/>
    <col min="4" max="4" width="11.8515625" style="0" customWidth="1"/>
    <col min="5" max="5" width="10.421875" style="0" customWidth="1"/>
    <col min="6" max="6" width="11.00390625" style="0" customWidth="1"/>
    <col min="7" max="7" width="12.00390625" style="0" customWidth="1"/>
    <col min="8" max="8" width="10.8515625" style="11" customWidth="1"/>
    <col min="9" max="9" width="9.140625" style="11" customWidth="1"/>
  </cols>
  <sheetData>
    <row r="1" ht="15">
      <c r="A1" s="7" t="s">
        <v>9</v>
      </c>
    </row>
    <row r="2" ht="15">
      <c r="A2" s="6"/>
    </row>
    <row r="3" ht="15">
      <c r="A3" s="7" t="s">
        <v>28</v>
      </c>
    </row>
    <row r="5" spans="1:13" ht="45">
      <c r="A5" s="3" t="s">
        <v>6</v>
      </c>
      <c r="B5" s="3" t="s">
        <v>5</v>
      </c>
      <c r="C5" s="3" t="s">
        <v>4</v>
      </c>
      <c r="D5" s="3" t="s">
        <v>3</v>
      </c>
      <c r="E5" s="3" t="s">
        <v>7</v>
      </c>
      <c r="F5" s="3" t="s">
        <v>8</v>
      </c>
      <c r="I5" s="13" t="s">
        <v>14</v>
      </c>
      <c r="J5" s="13" t="s">
        <v>13</v>
      </c>
      <c r="K5" s="13" t="s">
        <v>15</v>
      </c>
      <c r="L5" s="10" t="s">
        <v>11</v>
      </c>
      <c r="M5" s="10" t="s">
        <v>12</v>
      </c>
    </row>
    <row r="6" spans="1:13" ht="15">
      <c r="A6" s="26">
        <v>0</v>
      </c>
      <c r="B6" s="26">
        <f>IF('Enter details and see results'!D6&gt;1,'Enter details and see results'!D6,250000)</f>
        <v>15000</v>
      </c>
      <c r="C6" s="4">
        <f aca="true" t="shared" si="0" ref="C6:C11">J6*$B$18</f>
        <v>20700.97848472482</v>
      </c>
      <c r="D6" s="5">
        <f>K6</f>
        <v>0.018339605808711485</v>
      </c>
      <c r="E6" s="16">
        <f>'Enter details and see results'!F6/100</f>
        <v>0</v>
      </c>
      <c r="F6" s="16"/>
      <c r="I6" s="15">
        <f>IF(B6="",1,VLOOKUP(B6,'Look-up table'!$B$3:$I$43,8))</f>
        <v>0.03606442244725578</v>
      </c>
      <c r="J6" s="12">
        <f>I6</f>
        <v>0.03606442244725578</v>
      </c>
      <c r="K6" s="15">
        <f>IF(B6="",1,VLOOKUP(B6,'Look-up table'!$B$3:$I$43,6))</f>
        <v>0.018339605808711485</v>
      </c>
      <c r="L6" s="14">
        <f aca="true" t="shared" si="1" ref="L6:M12">E6*$B$17*$D6</f>
        <v>0</v>
      </c>
      <c r="M6" s="14">
        <f t="shared" si="1"/>
        <v>0</v>
      </c>
    </row>
    <row r="7" spans="1:13" ht="15">
      <c r="A7" s="26">
        <f>B6+1</f>
        <v>15001</v>
      </c>
      <c r="B7" s="26">
        <f>IF('Enter details and see results'!D7&gt;1,'Enter details and see results'!D7,250000)</f>
        <v>21000</v>
      </c>
      <c r="C7" s="4">
        <f t="shared" si="0"/>
        <v>226779.21930016036</v>
      </c>
      <c r="D7" s="5">
        <f aca="true" t="shared" si="2" ref="D7:D12">K7-K6</f>
        <v>0.26059039650237076</v>
      </c>
      <c r="E7" s="16">
        <f>'Enter details and see results'!F7/100</f>
        <v>0.006</v>
      </c>
      <c r="F7" s="16"/>
      <c r="I7" s="15">
        <f>IF(B7="",1,VLOOKUP(B7,'Look-up table'!$B$3:$I$43,8))</f>
        <v>0.4311501703569428</v>
      </c>
      <c r="J7" s="12">
        <f aca="true" t="shared" si="3" ref="J7:J12">I7-I6</f>
        <v>0.39508574790968704</v>
      </c>
      <c r="K7" s="15">
        <f>IF(B7="",1,VLOOKUP(B7,'Look-up table'!$B$3:$I$43,6))</f>
        <v>0.2789300023110822</v>
      </c>
      <c r="L7" s="14">
        <f t="shared" si="1"/>
        <v>23.584473245050564</v>
      </c>
      <c r="M7" s="14">
        <f t="shared" si="1"/>
        <v>0</v>
      </c>
    </row>
    <row r="8" spans="1:13" ht="15">
      <c r="A8" s="26">
        <f>B7+1</f>
        <v>21001</v>
      </c>
      <c r="B8" s="26">
        <f>IF('Enter details and see results'!D8&gt;1,'Enter details and see results'!D8,250000)</f>
        <v>30000</v>
      </c>
      <c r="C8" s="4">
        <f t="shared" si="0"/>
        <v>195101.2745926144</v>
      </c>
      <c r="D8" s="5">
        <f t="shared" si="2"/>
        <v>0.33119562755974474</v>
      </c>
      <c r="E8" s="16">
        <f>'Enter details and see results'!F8/100</f>
        <v>0.012</v>
      </c>
      <c r="F8" s="16"/>
      <c r="I8" s="15">
        <f>IF(B8="",1,VLOOKUP(B8,'Look-up table'!$B$3:$I$43,8))</f>
        <v>0.7710478612848425</v>
      </c>
      <c r="J8" s="12">
        <f t="shared" si="3"/>
        <v>0.3398976909278997</v>
      </c>
      <c r="K8" s="15">
        <f>IF(B8="",1,VLOOKUP(B8,'Look-up table'!$B$3:$I$43,6))</f>
        <v>0.610125629870827</v>
      </c>
      <c r="L8" s="14">
        <f t="shared" si="1"/>
        <v>59.94905815333428</v>
      </c>
      <c r="M8" s="14">
        <f t="shared" si="1"/>
        <v>0</v>
      </c>
    </row>
    <row r="9" spans="1:13" ht="15">
      <c r="A9" s="26">
        <f>B8+1</f>
        <v>30001</v>
      </c>
      <c r="B9" s="26">
        <f>IF('Enter details and see results'!D9&gt;1,'Enter details and see results'!D9,250000)</f>
        <v>50000</v>
      </c>
      <c r="C9" s="4">
        <f t="shared" si="0"/>
        <v>100160.05011056592</v>
      </c>
      <c r="D9" s="5">
        <f t="shared" si="2"/>
        <v>0.2539707024331418</v>
      </c>
      <c r="E9" s="16">
        <f>'Enter details and see results'!F9/100</f>
        <v>0.016</v>
      </c>
      <c r="F9" s="16"/>
      <c r="I9" s="15">
        <f>IF(B9="",1,VLOOKUP(B9,'Look-up table'!$B$3:$I$43,8))</f>
        <v>0.9455427221046437</v>
      </c>
      <c r="J9" s="12">
        <f t="shared" si="3"/>
        <v>0.17449486081980126</v>
      </c>
      <c r="K9" s="15">
        <f>IF(B9="",1,VLOOKUP(B9,'Look-up table'!$B$3:$I$43,6))</f>
        <v>0.8640963323039688</v>
      </c>
      <c r="L9" s="14">
        <f t="shared" si="1"/>
        <v>61.29430520802417</v>
      </c>
      <c r="M9" s="14">
        <f t="shared" si="1"/>
        <v>0</v>
      </c>
    </row>
    <row r="10" spans="1:13" ht="15">
      <c r="A10" s="26">
        <f>B9+1</f>
        <v>50001</v>
      </c>
      <c r="B10" s="26">
        <f>IF('Enter details and see results'!D10&gt;1,'Enter details and see results'!D10,250000)</f>
        <v>60000</v>
      </c>
      <c r="C10" s="4">
        <f t="shared" si="0"/>
        <v>17138.231134985344</v>
      </c>
      <c r="D10" s="5">
        <f t="shared" si="2"/>
        <v>0.06379386543912002</v>
      </c>
      <c r="E10" s="16">
        <f>'Enter details and see results'!F10/100</f>
        <v>0.02</v>
      </c>
      <c r="F10" s="16"/>
      <c r="I10" s="15">
        <f>IF(B10="",1,VLOOKUP(B10,'Look-up table'!$B$3:$I$43,8))</f>
        <v>0.9754002676359771</v>
      </c>
      <c r="J10" s="12">
        <f t="shared" si="3"/>
        <v>0.02985754553133335</v>
      </c>
      <c r="K10" s="15">
        <f>IF(B10="",1,VLOOKUP(B10,'Look-up table'!$B$3:$I$43,6))</f>
        <v>0.9278901977430888</v>
      </c>
      <c r="L10" s="14">
        <f t="shared" si="1"/>
        <v>19.24533332567373</v>
      </c>
      <c r="M10" s="14">
        <f t="shared" si="1"/>
        <v>0</v>
      </c>
    </row>
    <row r="11" spans="1:13" ht="15">
      <c r="A11" s="26">
        <f>B10+1</f>
        <v>60001</v>
      </c>
      <c r="B11" s="26">
        <f>IF('Enter details and see results'!D11&gt;1,'Enter details and see results'!D11,250000)</f>
        <v>250000</v>
      </c>
      <c r="C11" s="4">
        <f t="shared" si="0"/>
        <v>14120.24637694915</v>
      </c>
      <c r="D11" s="5">
        <f t="shared" si="2"/>
        <v>0.0721098022569111</v>
      </c>
      <c r="E11" s="16">
        <f>'Enter details and see results'!F11/100</f>
        <v>0.024</v>
      </c>
      <c r="F11" s="5"/>
      <c r="I11" s="15">
        <f>IF(B11="",1,VLOOKUP(B11,'Look-up table'!$B$3:$I$43,8))</f>
        <v>1</v>
      </c>
      <c r="J11" s="12">
        <f t="shared" si="3"/>
        <v>0.024599732364022908</v>
      </c>
      <c r="K11" s="15">
        <f>IF(B11="",1,VLOOKUP(B11,'Look-up table'!$B$3:$I$43,6))</f>
        <v>0.9999999999999999</v>
      </c>
      <c r="L11" s="14">
        <f t="shared" si="1"/>
        <v>26.10490217383793</v>
      </c>
      <c r="M11" s="14">
        <f t="shared" si="1"/>
        <v>0</v>
      </c>
    </row>
    <row r="12" spans="1:13" ht="15">
      <c r="A12" s="26"/>
      <c r="B12" s="26">
        <f>IF('Enter details and see results'!D12&gt;1,'Enter details and see results'!D12,250000)</f>
        <v>250000</v>
      </c>
      <c r="C12" s="4">
        <f>J12*$B$18</f>
        <v>0</v>
      </c>
      <c r="D12" s="5">
        <f t="shared" si="2"/>
        <v>0</v>
      </c>
      <c r="E12" s="16">
        <f>'Enter details and see results'!F12/100</f>
        <v>0</v>
      </c>
      <c r="F12" s="5"/>
      <c r="I12" s="15">
        <f>IF(B12="",1,VLOOKUP(B12,'Look-up table'!$B$3:$I$43,8))</f>
        <v>1</v>
      </c>
      <c r="J12" s="12">
        <f t="shared" si="3"/>
        <v>0</v>
      </c>
      <c r="K12" s="15">
        <f>IF(B12="",1,VLOOKUP(B12,'Look-up table'!$B$3:$I$43,6))</f>
        <v>0.9999999999999999</v>
      </c>
      <c r="L12" s="14">
        <f t="shared" si="1"/>
        <v>0</v>
      </c>
      <c r="M12" s="14"/>
    </row>
    <row r="13" spans="3:13" ht="15">
      <c r="C13" s="1"/>
      <c r="D13" s="1"/>
      <c r="E13" s="1"/>
      <c r="J13" s="11"/>
      <c r="K13" s="11"/>
      <c r="L13" s="14">
        <f>SUM(L6:L11)</f>
        <v>190.17807210592065</v>
      </c>
      <c r="M13" s="14">
        <f>SUM(M6:M11)</f>
        <v>0</v>
      </c>
    </row>
    <row r="14" spans="3:5" ht="15">
      <c r="C14" s="1"/>
      <c r="D14" s="1"/>
      <c r="E14" s="1"/>
    </row>
    <row r="15" spans="3:5" ht="15">
      <c r="C15" s="1"/>
      <c r="D15" s="1"/>
      <c r="E15" s="1"/>
    </row>
    <row r="16" spans="1:5" ht="15">
      <c r="A16" s="3"/>
      <c r="B16" s="89"/>
      <c r="C16" s="90"/>
      <c r="D16" s="1"/>
      <c r="E16" s="1"/>
    </row>
    <row r="17" spans="1:5" ht="30">
      <c r="A17" s="3" t="s">
        <v>2</v>
      </c>
      <c r="B17" s="4">
        <v>15084</v>
      </c>
      <c r="C17" s="2" t="s">
        <v>0</v>
      </c>
      <c r="D17" s="1"/>
      <c r="E17" s="1"/>
    </row>
    <row r="18" spans="1:5" ht="30">
      <c r="A18" s="3" t="s">
        <v>10</v>
      </c>
      <c r="B18" s="8">
        <v>574000</v>
      </c>
      <c r="C18" s="9"/>
      <c r="D18" s="1"/>
      <c r="E18" s="1"/>
    </row>
    <row r="19" spans="1:5" ht="15">
      <c r="A19" s="3"/>
      <c r="B19" s="91"/>
      <c r="C19" s="92"/>
      <c r="D19" s="93"/>
      <c r="E19" s="94"/>
    </row>
    <row r="20" spans="1:5" ht="15">
      <c r="A20" s="3" t="s">
        <v>1</v>
      </c>
      <c r="B20" s="95">
        <f>L13/B17</f>
        <v>0.012607933711609695</v>
      </c>
      <c r="C20" s="96"/>
      <c r="D20" s="97">
        <f>B17*B20</f>
        <v>190.17807210592065</v>
      </c>
      <c r="E20" s="98"/>
    </row>
    <row r="21" ht="15">
      <c r="A21" s="27"/>
    </row>
    <row r="22" spans="1:2" ht="15">
      <c r="A22" s="27" t="s">
        <v>16</v>
      </c>
      <c r="B22">
        <f>'Enter details and see results'!F20</f>
        <v>0</v>
      </c>
    </row>
    <row r="23" spans="1:2" ht="15">
      <c r="A23" s="27" t="s">
        <v>27</v>
      </c>
      <c r="B23" s="11">
        <f>'Enter details and see results'!F23</f>
        <v>0.2</v>
      </c>
    </row>
    <row r="24" spans="1:2" ht="15">
      <c r="A24" s="27" t="s">
        <v>40</v>
      </c>
      <c r="B24" s="35">
        <f>IF(OR('Enter details and see results'!F21=" ",'Enter details and see results'!F21=""),1,'Enter details and see results'!F21)</f>
        <v>1</v>
      </c>
    </row>
    <row r="25" spans="1:3" ht="15">
      <c r="A25" s="27" t="s">
        <v>41</v>
      </c>
      <c r="B25" t="str">
        <f>'Enter details and see results'!F18</f>
        <v>classic</v>
      </c>
      <c r="C25" t="str">
        <f>IF(AND(B22&gt;0,B23&gt;0,B25&lt;&gt;""),"*","x")</f>
        <v>x</v>
      </c>
    </row>
    <row r="26" spans="1:3" ht="15">
      <c r="A26" s="27" t="s">
        <v>42</v>
      </c>
      <c r="B26">
        <f>IF(B25="classic",0.015,IF(B25="pre-Fresh Start",0.03,0.035))</f>
        <v>0.015</v>
      </c>
      <c r="C26">
        <f>IF(C25="*",($B$26)*$B$22*$B$24/12*(1-$B$23),"")</f>
      </c>
    </row>
    <row r="27" spans="1:3" ht="15">
      <c r="A27" s="27" t="s">
        <v>17</v>
      </c>
      <c r="B27">
        <f>VLOOKUP(B22,A6:E12,5)</f>
        <v>0</v>
      </c>
      <c r="C27">
        <f>IF(C25="*",($B$26+B27)*$B$22*$B$24/12*(1-$B$23),"")</f>
      </c>
    </row>
    <row r="28" ht="15">
      <c r="A28" s="27"/>
    </row>
    <row r="29" ht="15">
      <c r="A29" s="27"/>
    </row>
  </sheetData>
  <sheetProtection password="CADD" sheet="1" selectLockedCells="1" selectUnlockedCells="1"/>
  <mergeCells count="5">
    <mergeCell ref="B16:C16"/>
    <mergeCell ref="B19:C19"/>
    <mergeCell ref="D19:E19"/>
    <mergeCell ref="B20:C20"/>
    <mergeCell ref="D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&amp;C&amp;"Calibri,Regular"RESTRICTED</oddHeader>
    <oddFooter>&amp;C&amp;"Calibri,Regular"RESTRICTED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4"/>
  <sheetViews>
    <sheetView windowProtection="1" zoomScalePageLayoutView="0" workbookViewId="0" topLeftCell="A13">
      <selection activeCell="I18" sqref="I18"/>
    </sheetView>
  </sheetViews>
  <sheetFormatPr defaultColWidth="9.140625" defaultRowHeight="15"/>
  <cols>
    <col min="1" max="1" width="14.57421875" style="23" customWidth="1"/>
    <col min="2" max="2" width="12.28125" style="1" customWidth="1"/>
    <col min="3" max="4" width="8.8515625" style="0" bestFit="1" customWidth="1"/>
    <col min="5" max="5" width="10.140625" style="0" bestFit="1" customWidth="1"/>
    <col min="8" max="8" width="8.28125" style="0" bestFit="1" customWidth="1"/>
    <col min="9" max="9" width="8.140625" style="0" bestFit="1" customWidth="1"/>
  </cols>
  <sheetData>
    <row r="2" spans="2:9" ht="63.75">
      <c r="B2" s="24" t="s">
        <v>18</v>
      </c>
      <c r="C2" s="17" t="s">
        <v>19</v>
      </c>
      <c r="D2" s="17" t="s">
        <v>20</v>
      </c>
      <c r="E2" s="17" t="s">
        <v>21</v>
      </c>
      <c r="F2" s="18" t="s">
        <v>22</v>
      </c>
      <c r="G2" s="18" t="s">
        <v>23</v>
      </c>
      <c r="H2" s="18" t="s">
        <v>24</v>
      </c>
      <c r="I2" s="18" t="s">
        <v>25</v>
      </c>
    </row>
    <row r="3" spans="1:9" ht="15">
      <c r="A3" s="23">
        <v>0</v>
      </c>
      <c r="B3" s="25">
        <v>15000</v>
      </c>
      <c r="C3" s="19">
        <v>19000</v>
      </c>
      <c r="D3" s="19">
        <v>16615</v>
      </c>
      <c r="E3" s="19">
        <v>236240</v>
      </c>
      <c r="F3" s="20">
        <f>E3/$E$44</f>
        <v>0.018339605808711485</v>
      </c>
      <c r="G3" s="20">
        <f>F3</f>
        <v>0.018339605808711485</v>
      </c>
      <c r="H3" s="20">
        <f>C3/$C$44</f>
        <v>0.03606442244725578</v>
      </c>
      <c r="I3" s="20">
        <f>H3</f>
        <v>0.03606442244725578</v>
      </c>
    </row>
    <row r="4" spans="1:9" ht="15">
      <c r="A4" s="23">
        <v>15001</v>
      </c>
      <c r="B4" s="25">
        <v>16000</v>
      </c>
      <c r="C4" s="19">
        <v>40355</v>
      </c>
      <c r="D4" s="19">
        <v>37170</v>
      </c>
      <c r="E4" s="19">
        <v>575340</v>
      </c>
      <c r="F4" s="20">
        <f aca="true" t="shared" si="0" ref="F4:F43">E4/$E$44</f>
        <v>0.044664361691432716</v>
      </c>
      <c r="G4" s="20">
        <f>G3+F4</f>
        <v>0.0630039675001442</v>
      </c>
      <c r="H4" s="20">
        <f aca="true" t="shared" si="1" ref="H4:H43">C4/$C$44</f>
        <v>0.07659893515047406</v>
      </c>
      <c r="I4" s="20">
        <f>I3+H4</f>
        <v>0.11266335759772983</v>
      </c>
    </row>
    <row r="5" spans="1:9" ht="15">
      <c r="A5" s="23">
        <v>16001</v>
      </c>
      <c r="B5" s="25">
        <v>17000</v>
      </c>
      <c r="C5" s="19">
        <v>41660</v>
      </c>
      <c r="D5" s="19">
        <v>38040</v>
      </c>
      <c r="E5" s="19">
        <v>629718</v>
      </c>
      <c r="F5" s="20">
        <f t="shared" si="0"/>
        <v>0.04888579364481112</v>
      </c>
      <c r="G5" s="20">
        <f aca="true" t="shared" si="2" ref="G5:G43">G4+F5</f>
        <v>0.11188976114495532</v>
      </c>
      <c r="H5" s="20">
        <f t="shared" si="1"/>
        <v>0.07907599153435137</v>
      </c>
      <c r="I5" s="20">
        <f aca="true" t="shared" si="3" ref="I5:I43">I4+H5</f>
        <v>0.19173934913208118</v>
      </c>
    </row>
    <row r="6" spans="1:9" ht="15">
      <c r="A6" s="23">
        <v>17001</v>
      </c>
      <c r="B6" s="25">
        <v>18000</v>
      </c>
      <c r="C6" s="19">
        <v>41340</v>
      </c>
      <c r="D6" s="19">
        <v>36155</v>
      </c>
      <c r="E6" s="19">
        <v>636142</v>
      </c>
      <c r="F6" s="20">
        <f t="shared" si="0"/>
        <v>0.04938449677601312</v>
      </c>
      <c r="G6" s="20">
        <f t="shared" si="2"/>
        <v>0.16127425792096844</v>
      </c>
      <c r="H6" s="20">
        <f t="shared" si="1"/>
        <v>0.07846859073523968</v>
      </c>
      <c r="I6" s="20">
        <f t="shared" si="3"/>
        <v>0.27020793986732083</v>
      </c>
    </row>
    <row r="7" spans="1:9" ht="15">
      <c r="A7" s="23">
        <v>18001</v>
      </c>
      <c r="B7" s="25">
        <v>19000</v>
      </c>
      <c r="C7" s="19">
        <v>28080</v>
      </c>
      <c r="D7" s="19">
        <v>26090</v>
      </c>
      <c r="E7" s="19">
        <v>479942</v>
      </c>
      <c r="F7" s="20">
        <f t="shared" si="0"/>
        <v>0.037258495983087565</v>
      </c>
      <c r="G7" s="20">
        <f t="shared" si="2"/>
        <v>0.198532753904056</v>
      </c>
      <c r="H7" s="20">
        <f t="shared" si="1"/>
        <v>0.0532994201220496</v>
      </c>
      <c r="I7" s="20">
        <f t="shared" si="3"/>
        <v>0.3235073599893704</v>
      </c>
    </row>
    <row r="8" spans="1:9" ht="15">
      <c r="A8" s="23">
        <v>19001</v>
      </c>
      <c r="B8" s="25">
        <v>20000</v>
      </c>
      <c r="C8" s="19">
        <v>31310</v>
      </c>
      <c r="D8" s="19">
        <v>28040</v>
      </c>
      <c r="E8" s="19">
        <v>543048</v>
      </c>
      <c r="F8" s="20">
        <f t="shared" si="0"/>
        <v>0.04215749346092598</v>
      </c>
      <c r="G8" s="20">
        <f t="shared" si="2"/>
        <v>0.24069024736498199</v>
      </c>
      <c r="H8" s="20">
        <f t="shared" si="1"/>
        <v>0.05943037193808308</v>
      </c>
      <c r="I8" s="20">
        <f t="shared" si="3"/>
        <v>0.3829377319274535</v>
      </c>
    </row>
    <row r="9" spans="1:9" ht="15">
      <c r="A9" s="23">
        <v>20001</v>
      </c>
      <c r="B9" s="25">
        <v>21000</v>
      </c>
      <c r="C9" s="19">
        <v>25400</v>
      </c>
      <c r="D9" s="19">
        <v>23995</v>
      </c>
      <c r="E9" s="19">
        <v>492582</v>
      </c>
      <c r="F9" s="20">
        <f t="shared" si="0"/>
        <v>0.038239754946100234</v>
      </c>
      <c r="G9" s="20">
        <f t="shared" si="2"/>
        <v>0.2789300023110822</v>
      </c>
      <c r="H9" s="20">
        <f t="shared" si="1"/>
        <v>0.04821243842948931</v>
      </c>
      <c r="I9" s="20">
        <f t="shared" si="3"/>
        <v>0.4311501703569428</v>
      </c>
    </row>
    <row r="10" spans="1:9" ht="15">
      <c r="A10" s="23">
        <v>21001</v>
      </c>
      <c r="B10" s="25">
        <v>22000</v>
      </c>
      <c r="C10" s="19">
        <v>18595</v>
      </c>
      <c r="D10" s="19">
        <v>17650</v>
      </c>
      <c r="E10" s="19">
        <v>379747</v>
      </c>
      <c r="F10" s="20">
        <f t="shared" si="0"/>
        <v>0.029480233182529462</v>
      </c>
      <c r="G10" s="20">
        <f t="shared" si="2"/>
        <v>0.3084102354936117</v>
      </c>
      <c r="H10" s="20">
        <f t="shared" si="1"/>
        <v>0.03529568081088007</v>
      </c>
      <c r="I10" s="20">
        <f t="shared" si="3"/>
        <v>0.4664458511678229</v>
      </c>
    </row>
    <row r="11" spans="1:9" ht="15">
      <c r="A11" s="23">
        <v>22001</v>
      </c>
      <c r="B11" s="25">
        <v>23000</v>
      </c>
      <c r="C11" s="19">
        <v>19705</v>
      </c>
      <c r="D11" s="19">
        <v>18820</v>
      </c>
      <c r="E11" s="19">
        <v>422580</v>
      </c>
      <c r="F11" s="20">
        <f t="shared" si="0"/>
        <v>0.03280541238844099</v>
      </c>
      <c r="G11" s="20">
        <f t="shared" si="2"/>
        <v>0.34121564788205266</v>
      </c>
      <c r="H11" s="20">
        <f t="shared" si="1"/>
        <v>0.03740260233279869</v>
      </c>
      <c r="I11" s="20">
        <f t="shared" si="3"/>
        <v>0.5038484535006216</v>
      </c>
    </row>
    <row r="12" spans="1:9" ht="15">
      <c r="A12" s="23">
        <v>23001</v>
      </c>
      <c r="B12" s="25">
        <v>24000</v>
      </c>
      <c r="C12" s="19">
        <v>22555</v>
      </c>
      <c r="D12" s="19">
        <v>21045</v>
      </c>
      <c r="E12" s="19">
        <v>495936</v>
      </c>
      <c r="F12" s="20">
        <f t="shared" si="0"/>
        <v>0.03850013014878572</v>
      </c>
      <c r="G12" s="20">
        <f t="shared" si="2"/>
        <v>0.3797157780308384</v>
      </c>
      <c r="H12" s="20">
        <f t="shared" si="1"/>
        <v>0.04281226569988706</v>
      </c>
      <c r="I12" s="20">
        <f t="shared" si="3"/>
        <v>0.5466607192005086</v>
      </c>
    </row>
    <row r="13" spans="1:9" ht="15">
      <c r="A13" s="23">
        <v>24001</v>
      </c>
      <c r="B13" s="25">
        <v>25000</v>
      </c>
      <c r="C13" s="19">
        <v>31835</v>
      </c>
      <c r="D13" s="19">
        <v>29185</v>
      </c>
      <c r="E13" s="19">
        <v>710426</v>
      </c>
      <c r="F13" s="20">
        <f t="shared" si="0"/>
        <v>0.05515125633364233</v>
      </c>
      <c r="G13" s="20">
        <f t="shared" si="2"/>
        <v>0.4348670343644807</v>
      </c>
      <c r="H13" s="20">
        <f t="shared" si="1"/>
        <v>0.06042688887412567</v>
      </c>
      <c r="I13" s="20">
        <f t="shared" si="3"/>
        <v>0.6070876080746344</v>
      </c>
    </row>
    <row r="14" spans="1:9" ht="15">
      <c r="A14" s="23">
        <v>25001</v>
      </c>
      <c r="B14" s="25">
        <v>26000</v>
      </c>
      <c r="C14" s="19">
        <v>23770</v>
      </c>
      <c r="D14" s="19">
        <v>22340</v>
      </c>
      <c r="E14" s="19">
        <v>574798</v>
      </c>
      <c r="F14" s="20">
        <f t="shared" si="0"/>
        <v>0.044622285555518726</v>
      </c>
      <c r="G14" s="20">
        <f t="shared" si="2"/>
        <v>0.47948931991999943</v>
      </c>
      <c r="H14" s="20">
        <f t="shared" si="1"/>
        <v>0.045118490609014204</v>
      </c>
      <c r="I14" s="20">
        <f t="shared" si="3"/>
        <v>0.6522060986836485</v>
      </c>
    </row>
    <row r="15" spans="1:9" ht="15">
      <c r="A15" s="23">
        <v>26001</v>
      </c>
      <c r="B15" s="25">
        <v>27000</v>
      </c>
      <c r="C15" s="19">
        <v>12560</v>
      </c>
      <c r="D15" s="19">
        <v>11895</v>
      </c>
      <c r="E15" s="19">
        <v>315702</v>
      </c>
      <c r="F15" s="20">
        <f t="shared" si="0"/>
        <v>0.02450833996368876</v>
      </c>
      <c r="G15" s="20">
        <f t="shared" si="2"/>
        <v>0.5039976598836882</v>
      </c>
      <c r="H15" s="20">
        <f t="shared" si="1"/>
        <v>0.023840481365133295</v>
      </c>
      <c r="I15" s="20">
        <f t="shared" si="3"/>
        <v>0.6760465800487818</v>
      </c>
    </row>
    <row r="16" spans="1:9" ht="15">
      <c r="A16" s="23">
        <v>27001</v>
      </c>
      <c r="B16" s="25">
        <v>28000</v>
      </c>
      <c r="C16" s="19">
        <v>18005</v>
      </c>
      <c r="D16" s="19">
        <v>17490</v>
      </c>
      <c r="E16" s="19">
        <v>482164</v>
      </c>
      <c r="F16" s="20">
        <f t="shared" si="0"/>
        <v>0.03743099261408552</v>
      </c>
      <c r="G16" s="20">
        <f t="shared" si="2"/>
        <v>0.5414286524977737</v>
      </c>
      <c r="H16" s="20">
        <f t="shared" si="1"/>
        <v>0.034175785587517916</v>
      </c>
      <c r="I16" s="20">
        <f t="shared" si="3"/>
        <v>0.7102223656362997</v>
      </c>
    </row>
    <row r="17" spans="1:9" ht="15">
      <c r="A17" s="23">
        <v>28001</v>
      </c>
      <c r="B17" s="25">
        <v>29000</v>
      </c>
      <c r="C17" s="19">
        <v>20345</v>
      </c>
      <c r="D17" s="19">
        <v>19410</v>
      </c>
      <c r="E17" s="19">
        <v>553791</v>
      </c>
      <c r="F17" s="20">
        <f t="shared" si="0"/>
        <v>0.04299148594823968</v>
      </c>
      <c r="G17" s="20">
        <f t="shared" si="2"/>
        <v>0.5844201384460134</v>
      </c>
      <c r="H17" s="20">
        <f t="shared" si="1"/>
        <v>0.038617403931022046</v>
      </c>
      <c r="I17" s="20">
        <f t="shared" si="3"/>
        <v>0.7488397695673218</v>
      </c>
    </row>
    <row r="18" spans="1:9" ht="15">
      <c r="A18" s="23">
        <v>29001</v>
      </c>
      <c r="B18" s="25">
        <v>30000</v>
      </c>
      <c r="C18" s="19">
        <v>11700</v>
      </c>
      <c r="D18" s="19">
        <v>11200</v>
      </c>
      <c r="E18" s="19">
        <v>331123</v>
      </c>
      <c r="F18" s="20">
        <f t="shared" si="0"/>
        <v>0.025705491424813633</v>
      </c>
      <c r="G18" s="20">
        <f t="shared" si="2"/>
        <v>0.610125629870827</v>
      </c>
      <c r="H18" s="20">
        <f t="shared" si="1"/>
        <v>0.022208091717520667</v>
      </c>
      <c r="I18" s="20">
        <f t="shared" si="3"/>
        <v>0.7710478612848425</v>
      </c>
    </row>
    <row r="19" spans="1:9" ht="15">
      <c r="A19" s="23">
        <v>30001</v>
      </c>
      <c r="B19" s="25">
        <v>35000</v>
      </c>
      <c r="C19" s="19">
        <v>45180</v>
      </c>
      <c r="D19" s="19">
        <v>43620</v>
      </c>
      <c r="E19" s="19">
        <v>1409669</v>
      </c>
      <c r="F19" s="20">
        <f t="shared" si="0"/>
        <v>0.1094343624312585</v>
      </c>
      <c r="G19" s="20">
        <f t="shared" si="2"/>
        <v>0.7195599923020854</v>
      </c>
      <c r="H19" s="20">
        <f t="shared" si="1"/>
        <v>0.0857574003245798</v>
      </c>
      <c r="I19" s="20">
        <f t="shared" si="3"/>
        <v>0.8568052616094223</v>
      </c>
    </row>
    <row r="20" spans="1:9" ht="15">
      <c r="A20" s="23">
        <v>35001</v>
      </c>
      <c r="B20" s="25">
        <v>40000</v>
      </c>
      <c r="C20" s="19">
        <v>22000</v>
      </c>
      <c r="D20" s="19">
        <v>21205</v>
      </c>
      <c r="E20" s="19">
        <v>795535</v>
      </c>
      <c r="F20" s="20">
        <f t="shared" si="0"/>
        <v>0.061758374140845285</v>
      </c>
      <c r="G20" s="20">
        <f t="shared" si="2"/>
        <v>0.7813183664429307</v>
      </c>
      <c r="H20" s="20">
        <f t="shared" si="1"/>
        <v>0.041758804938927745</v>
      </c>
      <c r="I20" s="20">
        <f t="shared" si="3"/>
        <v>0.89856406654835</v>
      </c>
    </row>
    <row r="21" spans="1:9" ht="15">
      <c r="A21" s="23">
        <v>40001</v>
      </c>
      <c r="B21" s="25">
        <v>45000</v>
      </c>
      <c r="C21" s="19">
        <v>12810</v>
      </c>
      <c r="D21" s="19">
        <v>12280</v>
      </c>
      <c r="E21" s="19">
        <v>519911</v>
      </c>
      <c r="F21" s="20">
        <f t="shared" si="0"/>
        <v>0.04036133929737977</v>
      </c>
      <c r="G21" s="20">
        <f t="shared" si="2"/>
        <v>0.8216797057403105</v>
      </c>
      <c r="H21" s="20">
        <f t="shared" si="1"/>
        <v>0.024315013239439295</v>
      </c>
      <c r="I21" s="20">
        <f t="shared" si="3"/>
        <v>0.9228790797877893</v>
      </c>
    </row>
    <row r="22" spans="1:9" ht="15">
      <c r="A22" s="23">
        <v>45001</v>
      </c>
      <c r="B22" s="25">
        <v>50000</v>
      </c>
      <c r="C22" s="19">
        <v>11940</v>
      </c>
      <c r="D22" s="19">
        <v>11595</v>
      </c>
      <c r="E22" s="19">
        <v>546386</v>
      </c>
      <c r="F22" s="20">
        <f t="shared" si="0"/>
        <v>0.042416626563658286</v>
      </c>
      <c r="G22" s="20">
        <f t="shared" si="2"/>
        <v>0.8640963323039688</v>
      </c>
      <c r="H22" s="20">
        <f t="shared" si="1"/>
        <v>0.022663642316854422</v>
      </c>
      <c r="I22" s="20">
        <f t="shared" si="3"/>
        <v>0.9455427221046437</v>
      </c>
    </row>
    <row r="23" spans="1:9" ht="15">
      <c r="A23" s="23">
        <v>50001</v>
      </c>
      <c r="B23" s="25">
        <v>55000</v>
      </c>
      <c r="C23" s="19">
        <v>9585</v>
      </c>
      <c r="D23" s="19">
        <v>9160</v>
      </c>
      <c r="E23" s="19">
        <v>480665</v>
      </c>
      <c r="F23" s="20">
        <f t="shared" si="0"/>
        <v>0.03731462337472192</v>
      </c>
      <c r="G23" s="20">
        <f t="shared" si="2"/>
        <v>0.9014109556786907</v>
      </c>
      <c r="H23" s="20">
        <f t="shared" si="1"/>
        <v>0.01819355206089193</v>
      </c>
      <c r="I23" s="20">
        <f t="shared" si="3"/>
        <v>0.9637362741655356</v>
      </c>
    </row>
    <row r="24" spans="1:9" ht="15">
      <c r="A24" s="23">
        <v>55001</v>
      </c>
      <c r="B24" s="25">
        <v>60000</v>
      </c>
      <c r="C24" s="19">
        <v>6145</v>
      </c>
      <c r="D24" s="19">
        <v>5930</v>
      </c>
      <c r="E24" s="19">
        <v>341090</v>
      </c>
      <c r="F24" s="20">
        <f t="shared" si="0"/>
        <v>0.02647924206439807</v>
      </c>
      <c r="G24" s="20">
        <f t="shared" si="2"/>
        <v>0.9278901977430888</v>
      </c>
      <c r="H24" s="20">
        <f t="shared" si="1"/>
        <v>0.011663993470441409</v>
      </c>
      <c r="I24" s="20">
        <f t="shared" si="3"/>
        <v>0.9754002676359771</v>
      </c>
    </row>
    <row r="25" spans="1:9" ht="15">
      <c r="A25" s="23">
        <v>60001</v>
      </c>
      <c r="B25" s="25">
        <v>65000</v>
      </c>
      <c r="C25" s="19">
        <v>4395</v>
      </c>
      <c r="D25" s="19">
        <v>4220</v>
      </c>
      <c r="E25" s="19">
        <v>263463</v>
      </c>
      <c r="F25" s="20">
        <f t="shared" si="0"/>
        <v>0.02045296124780119</v>
      </c>
      <c r="G25" s="20">
        <f t="shared" si="2"/>
        <v>0.94834315899089</v>
      </c>
      <c r="H25" s="20">
        <f t="shared" si="1"/>
        <v>0.008342270350299429</v>
      </c>
      <c r="I25" s="20">
        <f t="shared" si="3"/>
        <v>0.9837425379862765</v>
      </c>
    </row>
    <row r="26" spans="1:9" ht="15">
      <c r="A26" s="23">
        <v>65001</v>
      </c>
      <c r="B26" s="25">
        <v>70000</v>
      </c>
      <c r="C26" s="19">
        <v>3080</v>
      </c>
      <c r="D26" s="19">
        <v>2965</v>
      </c>
      <c r="E26" s="19">
        <v>199394</v>
      </c>
      <c r="F26" s="20">
        <f t="shared" si="0"/>
        <v>0.015479204879030721</v>
      </c>
      <c r="G26" s="20">
        <f t="shared" si="2"/>
        <v>0.9638223638699207</v>
      </c>
      <c r="H26" s="20">
        <f t="shared" si="1"/>
        <v>0.005846232691449885</v>
      </c>
      <c r="I26" s="20">
        <f t="shared" si="3"/>
        <v>0.9895887706777264</v>
      </c>
    </row>
    <row r="27" spans="1:9" ht="15">
      <c r="A27" s="23">
        <v>70001</v>
      </c>
      <c r="B27" s="25">
        <v>75000</v>
      </c>
      <c r="C27" s="19">
        <v>1895</v>
      </c>
      <c r="D27" s="19">
        <v>1825</v>
      </c>
      <c r="E27" s="19">
        <v>132253</v>
      </c>
      <c r="F27" s="20">
        <f t="shared" si="0"/>
        <v>0.010266965319249576</v>
      </c>
      <c r="G27" s="20">
        <f t="shared" si="2"/>
        <v>0.9740893291891702</v>
      </c>
      <c r="H27" s="20">
        <f t="shared" si="1"/>
        <v>0.003596951607239458</v>
      </c>
      <c r="I27" s="20">
        <f t="shared" si="3"/>
        <v>0.9931857222849659</v>
      </c>
    </row>
    <row r="28" spans="1:9" ht="15">
      <c r="A28" s="23">
        <v>75001</v>
      </c>
      <c r="B28" s="25">
        <v>80000</v>
      </c>
      <c r="C28" s="19">
        <v>880</v>
      </c>
      <c r="D28" s="19">
        <v>855</v>
      </c>
      <c r="E28" s="19">
        <v>66187</v>
      </c>
      <c r="F28" s="20">
        <f t="shared" si="0"/>
        <v>0.005138179350072752</v>
      </c>
      <c r="G28" s="20">
        <f t="shared" si="2"/>
        <v>0.979227508539243</v>
      </c>
      <c r="H28" s="20">
        <f t="shared" si="1"/>
        <v>0.00167035219755711</v>
      </c>
      <c r="I28" s="20">
        <f t="shared" si="3"/>
        <v>0.994856074482523</v>
      </c>
    </row>
    <row r="29" spans="1:9" ht="15">
      <c r="A29" s="23">
        <v>80001</v>
      </c>
      <c r="B29" s="25">
        <v>85000</v>
      </c>
      <c r="C29" s="19">
        <v>795</v>
      </c>
      <c r="D29" s="19">
        <v>780</v>
      </c>
      <c r="E29" s="19">
        <v>64076</v>
      </c>
      <c r="F29" s="20">
        <f t="shared" si="0"/>
        <v>0.004974299787499988</v>
      </c>
      <c r="G29" s="20">
        <f t="shared" si="2"/>
        <v>0.984201808326743</v>
      </c>
      <c r="H29" s="20">
        <f t="shared" si="1"/>
        <v>0.001509011360293071</v>
      </c>
      <c r="I29" s="20">
        <f t="shared" si="3"/>
        <v>0.996365085842816</v>
      </c>
    </row>
    <row r="30" spans="1:9" ht="15">
      <c r="A30" s="23">
        <v>85001</v>
      </c>
      <c r="B30" s="25">
        <v>90000</v>
      </c>
      <c r="C30" s="19">
        <v>445</v>
      </c>
      <c r="D30" s="19">
        <v>440</v>
      </c>
      <c r="E30" s="19">
        <v>38546</v>
      </c>
      <c r="F30" s="20">
        <f t="shared" si="0"/>
        <v>0.002992374049706201</v>
      </c>
      <c r="G30" s="20">
        <f t="shared" si="2"/>
        <v>0.9871941823764492</v>
      </c>
      <c r="H30" s="20">
        <f t="shared" si="1"/>
        <v>0.0008446667362646749</v>
      </c>
      <c r="I30" s="20">
        <f t="shared" si="3"/>
        <v>0.9972097525790807</v>
      </c>
    </row>
    <row r="31" spans="1:9" ht="15">
      <c r="A31" s="23">
        <v>90001</v>
      </c>
      <c r="B31" s="25">
        <v>95000</v>
      </c>
      <c r="C31" s="19">
        <v>355</v>
      </c>
      <c r="D31" s="19">
        <v>345</v>
      </c>
      <c r="E31" s="19">
        <v>31781</v>
      </c>
      <c r="F31" s="20">
        <f t="shared" si="0"/>
        <v>0.0024671986632520304</v>
      </c>
      <c r="G31" s="20">
        <f t="shared" si="2"/>
        <v>0.9896613810397012</v>
      </c>
      <c r="H31" s="20">
        <f t="shared" si="1"/>
        <v>0.0006738352615145159</v>
      </c>
      <c r="I31" s="20">
        <f t="shared" si="3"/>
        <v>0.9978835878405953</v>
      </c>
    </row>
    <row r="32" spans="1:9" ht="15">
      <c r="A32" s="23">
        <v>95001</v>
      </c>
      <c r="B32" s="25">
        <v>100000</v>
      </c>
      <c r="C32" s="19">
        <v>200</v>
      </c>
      <c r="D32" s="19">
        <v>195</v>
      </c>
      <c r="E32" s="19">
        <v>19268</v>
      </c>
      <c r="F32" s="20">
        <f t="shared" si="0"/>
        <v>0.0014957988686177314</v>
      </c>
      <c r="G32" s="20">
        <f t="shared" si="2"/>
        <v>0.991157179908319</v>
      </c>
      <c r="H32" s="20">
        <f t="shared" si="1"/>
        <v>0.0003796254994447977</v>
      </c>
      <c r="I32" s="20">
        <f t="shared" si="3"/>
        <v>0.9982632133400401</v>
      </c>
    </row>
    <row r="33" spans="1:9" ht="15">
      <c r="A33" s="23">
        <v>100001</v>
      </c>
      <c r="B33" s="25">
        <v>105000</v>
      </c>
      <c r="C33" s="19">
        <v>160</v>
      </c>
      <c r="D33" s="19">
        <v>160</v>
      </c>
      <c r="E33" s="19">
        <v>16248</v>
      </c>
      <c r="F33" s="20">
        <f t="shared" si="0"/>
        <v>0.0012613525024548942</v>
      </c>
      <c r="G33" s="20">
        <f t="shared" si="2"/>
        <v>0.9924185324107738</v>
      </c>
      <c r="H33" s="20">
        <f t="shared" si="1"/>
        <v>0.0003037003995558382</v>
      </c>
      <c r="I33" s="20">
        <f t="shared" si="3"/>
        <v>0.9985669137395959</v>
      </c>
    </row>
    <row r="34" spans="1:9" ht="15">
      <c r="A34" s="23">
        <v>105001</v>
      </c>
      <c r="B34" s="25">
        <v>110000</v>
      </c>
      <c r="C34" s="19">
        <v>135</v>
      </c>
      <c r="D34" s="19">
        <v>135</v>
      </c>
      <c r="E34" s="19">
        <v>14506</v>
      </c>
      <c r="F34" s="20">
        <f t="shared" si="0"/>
        <v>0.001126118870052357</v>
      </c>
      <c r="G34" s="20">
        <f t="shared" si="2"/>
        <v>0.9935446512808261</v>
      </c>
      <c r="H34" s="20">
        <f t="shared" si="1"/>
        <v>0.00025624721212523846</v>
      </c>
      <c r="I34" s="20">
        <f t="shared" si="3"/>
        <v>0.9988231609517212</v>
      </c>
    </row>
    <row r="35" spans="1:9" ht="15">
      <c r="A35" s="23">
        <v>110001</v>
      </c>
      <c r="B35" s="25">
        <v>115000</v>
      </c>
      <c r="C35" s="19">
        <v>90</v>
      </c>
      <c r="D35" s="19">
        <v>90</v>
      </c>
      <c r="E35" s="19">
        <v>10040</v>
      </c>
      <c r="F35" s="20">
        <f t="shared" si="0"/>
        <v>0.0007794177206208233</v>
      </c>
      <c r="G35" s="20">
        <f t="shared" si="2"/>
        <v>0.994324069001447</v>
      </c>
      <c r="H35" s="20">
        <f t="shared" si="1"/>
        <v>0.00017083147475015898</v>
      </c>
      <c r="I35" s="20">
        <f t="shared" si="3"/>
        <v>0.9989939924264714</v>
      </c>
    </row>
    <row r="36" spans="1:9" ht="15">
      <c r="A36" s="23">
        <v>115001</v>
      </c>
      <c r="B36" s="25">
        <v>120000</v>
      </c>
      <c r="C36" s="19">
        <v>95</v>
      </c>
      <c r="D36" s="19">
        <v>90</v>
      </c>
      <c r="E36" s="19">
        <v>10857</v>
      </c>
      <c r="F36" s="20">
        <f t="shared" si="0"/>
        <v>0.0008428424494801074</v>
      </c>
      <c r="G36" s="20">
        <f t="shared" si="2"/>
        <v>0.9951669114509271</v>
      </c>
      <c r="H36" s="20">
        <f t="shared" si="1"/>
        <v>0.0001803221122362789</v>
      </c>
      <c r="I36" s="20">
        <f t="shared" si="3"/>
        <v>0.9991743145387076</v>
      </c>
    </row>
    <row r="37" spans="1:9" ht="15">
      <c r="A37" s="23">
        <v>120001</v>
      </c>
      <c r="B37" s="25">
        <v>125000</v>
      </c>
      <c r="C37" s="19">
        <v>70</v>
      </c>
      <c r="D37" s="19">
        <v>65</v>
      </c>
      <c r="E37" s="19">
        <v>8193</v>
      </c>
      <c r="F37" s="20">
        <f t="shared" si="0"/>
        <v>0.0006360328072755383</v>
      </c>
      <c r="G37" s="20">
        <f t="shared" si="2"/>
        <v>0.9958029442582026</v>
      </c>
      <c r="H37" s="20">
        <f t="shared" si="1"/>
        <v>0.0001328689248056792</v>
      </c>
      <c r="I37" s="20">
        <f t="shared" si="3"/>
        <v>0.9993071834635133</v>
      </c>
    </row>
    <row r="38" spans="1:9" ht="15">
      <c r="A38" s="23">
        <v>125001</v>
      </c>
      <c r="B38" s="25">
        <v>130000</v>
      </c>
      <c r="C38" s="19">
        <v>75</v>
      </c>
      <c r="D38" s="19">
        <v>75</v>
      </c>
      <c r="E38" s="19">
        <v>9559</v>
      </c>
      <c r="F38" s="20">
        <f t="shared" si="0"/>
        <v>0.0007420770907783316</v>
      </c>
      <c r="G38" s="20">
        <f t="shared" si="2"/>
        <v>0.9965450213489809</v>
      </c>
      <c r="H38" s="20">
        <f t="shared" si="1"/>
        <v>0.00014235956229179914</v>
      </c>
      <c r="I38" s="20">
        <f t="shared" si="3"/>
        <v>0.9994495430258051</v>
      </c>
    </row>
    <row r="39" spans="1:9" ht="15">
      <c r="A39" s="23">
        <v>130001</v>
      </c>
      <c r="B39" s="25">
        <v>135000</v>
      </c>
      <c r="C39" s="19">
        <v>55</v>
      </c>
      <c r="D39" s="19">
        <v>55</v>
      </c>
      <c r="E39" s="19">
        <v>7431</v>
      </c>
      <c r="F39" s="20">
        <f t="shared" si="0"/>
        <v>0.0005768777970053125</v>
      </c>
      <c r="G39" s="20">
        <f t="shared" si="2"/>
        <v>0.9971218991459863</v>
      </c>
      <c r="H39" s="20">
        <f t="shared" si="1"/>
        <v>0.00010439701234731937</v>
      </c>
      <c r="I39" s="20">
        <f t="shared" si="3"/>
        <v>0.9995539400381525</v>
      </c>
    </row>
    <row r="40" spans="1:9" ht="15">
      <c r="A40" s="23">
        <v>135001</v>
      </c>
      <c r="B40" s="25">
        <v>140000</v>
      </c>
      <c r="C40" s="19">
        <v>40</v>
      </c>
      <c r="D40" s="19">
        <v>35</v>
      </c>
      <c r="E40" s="19">
        <v>5134</v>
      </c>
      <c r="F40" s="20">
        <f t="shared" si="0"/>
        <v>0.0003985588224768234</v>
      </c>
      <c r="G40" s="20">
        <f t="shared" si="2"/>
        <v>0.9975204579684631</v>
      </c>
      <c r="H40" s="20">
        <f t="shared" si="1"/>
        <v>7.592509988895955E-05</v>
      </c>
      <c r="I40" s="20">
        <f t="shared" si="3"/>
        <v>0.9996298651380414</v>
      </c>
    </row>
    <row r="41" spans="1:9" ht="15">
      <c r="A41" s="23">
        <v>140001</v>
      </c>
      <c r="B41" s="25">
        <v>145000</v>
      </c>
      <c r="C41" s="19">
        <v>25</v>
      </c>
      <c r="D41" s="19">
        <v>25</v>
      </c>
      <c r="E41" s="19">
        <v>3688</v>
      </c>
      <c r="F41" s="20">
        <f t="shared" si="0"/>
        <v>0.0002863040392081271</v>
      </c>
      <c r="G41" s="20">
        <f t="shared" si="2"/>
        <v>0.9978067620076713</v>
      </c>
      <c r="H41" s="20">
        <f t="shared" si="1"/>
        <v>4.7453187430599715E-05</v>
      </c>
      <c r="I41" s="20">
        <f t="shared" si="3"/>
        <v>0.999677318325472</v>
      </c>
    </row>
    <row r="42" spans="1:9" ht="15">
      <c r="A42" s="23">
        <v>145001</v>
      </c>
      <c r="B42" s="25">
        <v>150000</v>
      </c>
      <c r="C42" s="19">
        <v>35</v>
      </c>
      <c r="D42" s="19">
        <v>35</v>
      </c>
      <c r="E42" s="19">
        <v>4968</v>
      </c>
      <c r="F42" s="20">
        <f t="shared" si="0"/>
        <v>0.0003856720354625747</v>
      </c>
      <c r="G42" s="20">
        <f t="shared" si="2"/>
        <v>0.9981924340431338</v>
      </c>
      <c r="H42" s="20">
        <f t="shared" si="1"/>
        <v>6.64344624028396E-05</v>
      </c>
      <c r="I42" s="20">
        <f t="shared" si="3"/>
        <v>0.9997437527878749</v>
      </c>
    </row>
    <row r="43" spans="1:9" ht="15">
      <c r="A43" s="23">
        <v>150001</v>
      </c>
      <c r="B43" s="25">
        <v>250000</v>
      </c>
      <c r="C43" s="19">
        <v>135</v>
      </c>
      <c r="D43" s="19">
        <v>130</v>
      </c>
      <c r="E43" s="19">
        <v>23284</v>
      </c>
      <c r="F43" s="20">
        <f t="shared" si="0"/>
        <v>0.0018075659568660607</v>
      </c>
      <c r="G43" s="20">
        <f t="shared" si="2"/>
        <v>0.9999999999999999</v>
      </c>
      <c r="H43" s="20">
        <f t="shared" si="1"/>
        <v>0.00025624721212523846</v>
      </c>
      <c r="I43" s="20">
        <f t="shared" si="3"/>
        <v>1</v>
      </c>
    </row>
    <row r="44" spans="2:9" ht="15">
      <c r="B44" s="21" t="s">
        <v>26</v>
      </c>
      <c r="C44" s="21">
        <f>SUM(C3:C43)</f>
        <v>526835</v>
      </c>
      <c r="D44" s="21">
        <f>SUM(D3:D43)</f>
        <v>491450</v>
      </c>
      <c r="E44" s="21">
        <f>SUM(E3:E43)</f>
        <v>12881411</v>
      </c>
      <c r="F44" s="22"/>
      <c r="G44" s="22"/>
      <c r="H44" s="22"/>
      <c r="I44" s="22"/>
    </row>
  </sheetData>
  <sheetProtection password="CADD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jenkins</dc:creator>
  <cp:keywords/>
  <dc:description/>
  <cp:lastModifiedBy>Graeme Rowe</cp:lastModifiedBy>
  <cp:lastPrinted>2011-05-03T16:26:33Z</cp:lastPrinted>
  <dcterms:created xsi:type="dcterms:W3CDTF">2011-02-11T11:08:48Z</dcterms:created>
  <dcterms:modified xsi:type="dcterms:W3CDTF">2014-07-03T09:21:39Z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1cab8bc9-529e-4a2c-b3ef-9f193732e807</vt:lpwstr>
  </property>
</Properties>
</file>