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harts/chart1.xml" ContentType="application/vnd.openxmlformats-officedocument.drawingml.chart+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codeName="ThisWorkbook" defaultThemeVersion="124226"/>
  <mc:AlternateContent xmlns:mc="http://schemas.openxmlformats.org/markup-compatibility/2006">
    <mc:Choice Requires="x15">
      <x15ac:absPath xmlns:x15ac="http://schemas.microsoft.com/office/spreadsheetml/2010/11/ac" url="M:\Communications\Scheme-specific\A to D\CSPS\Documents\Calculators\Password protected\"/>
    </mc:Choice>
  </mc:AlternateContent>
  <xr:revisionPtr revIDLastSave="0" documentId="13_ncr:1_{E3F52A7F-431F-4A22-B691-8D8452F4B67D}" xr6:coauthVersionLast="47" xr6:coauthVersionMax="47" xr10:uidLastSave="{00000000-0000-0000-0000-000000000000}"/>
  <workbookProtection workbookAlgorithmName="SHA-512" workbookHashValue="Zi3xwS3zsyjgADK+0OeIqdKa7R7ZGwkqZU4NMXn33r8zguODz4LtgsP6c2SiI/4tba00S5nJPuxrA5yKBoy2mQ==" workbookSaltValue="9BK48PDyTbGMfou6Y5OrmA==" workbookSpinCount="100000" lockStructure="1"/>
  <bookViews>
    <workbookView xWindow="-19298" yWindow="-608" windowWidth="19396" windowHeight="10275" xr2:uid="{00000000-000D-0000-FFFF-FFFF00000000}"/>
  </bookViews>
  <sheets>
    <sheet name="Enter your details here" sheetId="3" r:id="rId1"/>
    <sheet name="Your Results" sheetId="2" state="hidden" r:id="rId2"/>
    <sheet name="Workings" sheetId="1" state="hidden" r:id="rId3"/>
    <sheet name="Sheet1" sheetId="4" state="hidden" r:id="rId4"/>
  </sheets>
  <definedNames>
    <definedName name="_xlnm.Print_Area" localSheetId="1">'Your Results'!$A$1:$O$50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9" i="1" l="1"/>
  <c r="B39" i="2" s="1"/>
  <c r="D9" i="1"/>
  <c r="C9" i="1"/>
  <c r="G9" i="1" s="1"/>
  <c r="B13" i="1"/>
  <c r="C10" i="1"/>
  <c r="B3" i="1"/>
  <c r="D3" i="1" s="1"/>
  <c r="D10" i="1"/>
  <c r="D20" i="1"/>
  <c r="B5" i="1"/>
  <c r="B6" i="1"/>
  <c r="B4" i="1"/>
  <c r="R39" i="1" s="1"/>
  <c r="B24" i="1"/>
  <c r="D24" i="1" s="1"/>
  <c r="B7" i="1"/>
  <c r="B39" i="1" s="1"/>
  <c r="E10" i="1"/>
  <c r="F10" i="1"/>
  <c r="D34" i="3"/>
  <c r="B2" i="1"/>
  <c r="C11" i="1"/>
  <c r="E11" i="1"/>
  <c r="G11" i="1" s="1"/>
  <c r="B11" i="1" s="1"/>
  <c r="D40" i="3"/>
  <c r="M36" i="3"/>
  <c r="I36" i="3"/>
  <c r="A50" i="2"/>
  <c r="N13" i="3"/>
  <c r="B42" i="2"/>
  <c r="N19" i="3"/>
  <c r="N24" i="3"/>
  <c r="F30" i="1"/>
  <c r="F32" i="1" s="1"/>
  <c r="B47" i="2"/>
  <c r="B46" i="2"/>
  <c r="B44" i="2"/>
  <c r="A55" i="1"/>
  <c r="B41" i="2"/>
  <c r="A48" i="1"/>
  <c r="A47" i="1"/>
  <c r="A46" i="1"/>
  <c r="A45" i="1"/>
  <c r="A44" i="1"/>
  <c r="A43" i="1"/>
  <c r="A42" i="1"/>
  <c r="A41" i="1"/>
  <c r="F31" i="1"/>
  <c r="F29" i="1"/>
  <c r="D40" i="1" l="1"/>
  <c r="A60" i="1"/>
  <c r="B45" i="2" s="1"/>
  <c r="C24" i="1"/>
  <c r="B40" i="1"/>
  <c r="B41" i="1"/>
  <c r="B42" i="1" s="1"/>
  <c r="F16" i="1"/>
  <c r="F23" i="1" s="1"/>
  <c r="F15" i="1"/>
  <c r="F22" i="1" s="1"/>
  <c r="G10" i="1"/>
  <c r="E15" i="1"/>
  <c r="E22" i="1" s="1"/>
  <c r="E16" i="1"/>
  <c r="E23" i="1" s="1"/>
  <c r="B28" i="1"/>
  <c r="H11" i="1"/>
  <c r="I11" i="1" s="1"/>
  <c r="N16" i="3" s="1"/>
  <c r="U40" i="1"/>
  <c r="C3" i="1"/>
  <c r="H18" i="1" s="1"/>
  <c r="F19" i="1" s="1"/>
  <c r="D41" i="1" l="1"/>
  <c r="D42" i="1" s="1"/>
  <c r="D43" i="1" s="1"/>
  <c r="B43" i="1"/>
  <c r="B44" i="1" s="1"/>
  <c r="B45" i="1" s="1"/>
  <c r="B46" i="1" s="1"/>
  <c r="C46" i="1" s="1"/>
  <c r="C42" i="1"/>
  <c r="H10" i="1"/>
  <c r="B14" i="1" s="1"/>
  <c r="B10" i="1"/>
  <c r="A50" i="1" s="1"/>
  <c r="C44" i="1"/>
  <c r="E18" i="1"/>
  <c r="E19" i="1" s="1"/>
  <c r="U41" i="1"/>
  <c r="V40" i="1"/>
  <c r="W40" i="1"/>
  <c r="E12" i="1"/>
  <c r="D12" i="1"/>
  <c r="E3" i="1"/>
  <c r="F12" i="1"/>
  <c r="C12" i="1"/>
  <c r="J10" i="1"/>
  <c r="F41" i="1" l="1"/>
  <c r="E41" i="1" s="1"/>
  <c r="F42" i="1"/>
  <c r="E42" i="1" s="1"/>
  <c r="C45" i="1"/>
  <c r="C43" i="1"/>
  <c r="F43" i="1" s="1"/>
  <c r="E43" i="1" s="1"/>
  <c r="B15" i="1"/>
  <c r="B31" i="1" s="1"/>
  <c r="G12" i="1"/>
  <c r="B12" i="1" s="1"/>
  <c r="D44" i="1"/>
  <c r="B47" i="1"/>
  <c r="B48" i="1" s="1"/>
  <c r="C16" i="1"/>
  <c r="C17" i="1" s="1"/>
  <c r="C23" i="1" s="1"/>
  <c r="G40" i="1" s="1"/>
  <c r="D16" i="1"/>
  <c r="D17" i="1" s="1"/>
  <c r="W41" i="1"/>
  <c r="U42" i="1"/>
  <c r="V41" i="1"/>
  <c r="C14" i="1"/>
  <c r="I10" i="1"/>
  <c r="N15" i="3" s="1"/>
  <c r="C48" i="1" l="1"/>
  <c r="C47" i="1"/>
  <c r="F44" i="1"/>
  <c r="E44" i="1" s="1"/>
  <c r="D45" i="1"/>
  <c r="F45" i="1" s="1"/>
  <c r="D23" i="1"/>
  <c r="G17" i="1"/>
  <c r="B17" i="1"/>
  <c r="A51" i="1"/>
  <c r="D15" i="1"/>
  <c r="J40" i="1"/>
  <c r="G14" i="1"/>
  <c r="A36" i="1"/>
  <c r="H34" i="3" s="1"/>
  <c r="U43" i="1"/>
  <c r="V42" i="1"/>
  <c r="W42" i="1"/>
  <c r="I40" i="1"/>
  <c r="G16" i="1"/>
  <c r="C15" i="1"/>
  <c r="C18" i="1"/>
  <c r="B18" i="1" l="1"/>
  <c r="G18" i="1"/>
  <c r="D46" i="1"/>
  <c r="F46" i="1" s="1"/>
  <c r="K40" i="1"/>
  <c r="E45" i="1"/>
  <c r="H40" i="1"/>
  <c r="B23" i="1"/>
  <c r="C19" i="1"/>
  <c r="G15" i="1"/>
  <c r="C22" i="1"/>
  <c r="V43" i="1"/>
  <c r="U44" i="1"/>
  <c r="W43" i="1"/>
  <c r="D19" i="1"/>
  <c r="D22" i="1"/>
  <c r="D47" i="1" l="1"/>
  <c r="B19" i="1"/>
  <c r="E46" i="1"/>
  <c r="G19" i="1"/>
  <c r="D48" i="1"/>
  <c r="A53" i="1"/>
  <c r="B40" i="2" s="1"/>
  <c r="B33" i="1"/>
  <c r="G41" i="1" s="1"/>
  <c r="G22" i="1"/>
  <c r="B22" i="1" s="1"/>
  <c r="B29" i="1" s="1"/>
  <c r="A62" i="1" s="1"/>
  <c r="W44" i="1"/>
  <c r="V44" i="1"/>
  <c r="U45" i="1"/>
  <c r="F47" i="1" l="1"/>
  <c r="E47" i="1" s="1"/>
  <c r="C20" i="1"/>
  <c r="B20" i="1" s="1"/>
  <c r="B21" i="1" s="1"/>
  <c r="L36" i="3"/>
  <c r="F48" i="1"/>
  <c r="E48" i="1" s="1"/>
  <c r="N40" i="1"/>
  <c r="N41" i="1" s="1"/>
  <c r="N42" i="1" s="1"/>
  <c r="N43" i="1" s="1"/>
  <c r="N44" i="1" s="1"/>
  <c r="N45" i="1" s="1"/>
  <c r="N46" i="1" s="1"/>
  <c r="N47" i="1" s="1"/>
  <c r="N48" i="1" s="1"/>
  <c r="G42" i="1"/>
  <c r="I41" i="1"/>
  <c r="H41" i="1"/>
  <c r="W45" i="1"/>
  <c r="V45" i="1"/>
  <c r="U46" i="1"/>
  <c r="S39" i="1" l="1"/>
  <c r="G41" i="3"/>
  <c r="A52" i="1"/>
  <c r="B38" i="2" s="1"/>
  <c r="T40" i="1"/>
  <c r="H42" i="1"/>
  <c r="J41" i="1"/>
  <c r="K41" i="1" s="1"/>
  <c r="I42" i="1"/>
  <c r="G43" i="1"/>
  <c r="W46" i="1"/>
  <c r="V46" i="1"/>
  <c r="U47" i="1"/>
  <c r="L38" i="3" l="1"/>
  <c r="M40" i="1"/>
  <c r="B30" i="1"/>
  <c r="A54" i="1" s="1"/>
  <c r="B43" i="2" s="1"/>
  <c r="L40" i="1"/>
  <c r="G44" i="1"/>
  <c r="I43" i="1"/>
  <c r="T41" i="1"/>
  <c r="L41" i="1"/>
  <c r="J42" i="1"/>
  <c r="K42" i="1" s="1"/>
  <c r="H43" i="1"/>
  <c r="U48" i="1"/>
  <c r="V47" i="1"/>
  <c r="W47" i="1"/>
  <c r="O40" i="1" l="1"/>
  <c r="P40" i="1"/>
  <c r="M41" i="1"/>
  <c r="Q40" i="1"/>
  <c r="J43" i="1"/>
  <c r="K43" i="1" s="1"/>
  <c r="H44" i="1"/>
  <c r="L42" i="1"/>
  <c r="T42" i="1"/>
  <c r="I44" i="1"/>
  <c r="G45" i="1"/>
  <c r="V48" i="1"/>
  <c r="W48" i="1"/>
  <c r="M42" i="1" l="1"/>
  <c r="O41" i="1"/>
  <c r="Q41" i="1"/>
  <c r="P41" i="1"/>
  <c r="I45" i="1"/>
  <c r="G46" i="1"/>
  <c r="H45" i="1"/>
  <c r="J44" i="1"/>
  <c r="K44" i="1" s="1"/>
  <c r="L43" i="1"/>
  <c r="T43" i="1"/>
  <c r="M43" i="1" l="1"/>
  <c r="P42" i="1"/>
  <c r="Q42" i="1"/>
  <c r="O42" i="1"/>
  <c r="T44" i="1"/>
  <c r="L44" i="1"/>
  <c r="H46" i="1"/>
  <c r="J45" i="1"/>
  <c r="K45" i="1" s="1"/>
  <c r="I46" i="1"/>
  <c r="G47" i="1"/>
  <c r="M44" i="1" l="1"/>
  <c r="Q43" i="1"/>
  <c r="O43" i="1"/>
  <c r="P43" i="1"/>
  <c r="G48" i="1"/>
  <c r="I48" i="1" s="1"/>
  <c r="I47" i="1"/>
  <c r="T45" i="1"/>
  <c r="L45" i="1"/>
  <c r="J46" i="1"/>
  <c r="K46" i="1" s="1"/>
  <c r="H47" i="1"/>
  <c r="M45" i="1" l="1"/>
  <c r="P45" i="1" s="1"/>
  <c r="O44" i="1"/>
  <c r="Q44" i="1"/>
  <c r="P44" i="1"/>
  <c r="H48" i="1"/>
  <c r="J48" i="1" s="1"/>
  <c r="K48" i="1" s="1"/>
  <c r="J47" i="1"/>
  <c r="K47" i="1" s="1"/>
  <c r="T46" i="1"/>
  <c r="L46" i="1"/>
  <c r="M46" i="1" l="1"/>
  <c r="O45" i="1"/>
  <c r="Q45" i="1"/>
  <c r="L47" i="1"/>
  <c r="T47" i="1"/>
  <c r="T48" i="1"/>
  <c r="L48" i="1"/>
  <c r="Q46" i="1" l="1"/>
  <c r="P46" i="1"/>
  <c r="M47" i="1"/>
  <c r="O46" i="1"/>
  <c r="Q47" i="1" l="1"/>
  <c r="M48" i="1"/>
  <c r="O47" i="1"/>
  <c r="P47" i="1"/>
  <c r="Q48" i="1" l="1"/>
  <c r="P48" i="1"/>
  <c r="O48" i="1"/>
  <c r="H36"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Julia Wood</author>
  </authors>
  <commentList>
    <comment ref="L19" authorId="0" shapeId="0" xr:uid="{00000000-0006-0000-0000-000001000000}">
      <text>
        <r>
          <rPr>
            <sz val="8"/>
            <color indexed="81"/>
            <rFont val="Tahoma"/>
            <family val="2"/>
          </rPr>
          <t>This assumes your "best year" is the last 12 months.  If this is not so, the calculator may overestimate abatement.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Julia Wood</author>
  </authors>
  <commentList>
    <comment ref="C3" authorId="0" shapeId="0" xr:uid="{00000000-0006-0000-0200-000001000000}">
      <text>
        <r>
          <rPr>
            <b/>
            <sz val="8"/>
            <color indexed="81"/>
            <rFont val="Tahoma"/>
            <family val="2"/>
          </rPr>
          <t>Julia Wood:</t>
        </r>
        <r>
          <rPr>
            <sz val="8"/>
            <color indexed="81"/>
            <rFont val="Tahoma"/>
            <family val="2"/>
          </rPr>
          <t xml:space="preserve">
pension reduction factor</t>
        </r>
      </text>
    </comment>
    <comment ref="D3" authorId="0" shapeId="0" xr:uid="{00000000-0006-0000-0200-000002000000}">
      <text>
        <r>
          <rPr>
            <b/>
            <sz val="8"/>
            <color indexed="81"/>
            <rFont val="Tahoma"/>
            <family val="2"/>
          </rPr>
          <t>Julia Wood:</t>
        </r>
        <r>
          <rPr>
            <sz val="8"/>
            <color indexed="81"/>
            <rFont val="Tahoma"/>
            <family val="2"/>
          </rPr>
          <t xml:space="preserve">
lump sum reduction factor (classic only)</t>
        </r>
      </text>
    </comment>
    <comment ref="E3" authorId="0" shapeId="0" xr:uid="{00000000-0006-0000-0200-000003000000}">
      <text>
        <r>
          <rPr>
            <b/>
            <sz val="8"/>
            <color indexed="81"/>
            <rFont val="Tahoma"/>
            <family val="2"/>
          </rPr>
          <t>Julia Wood:</t>
        </r>
        <r>
          <rPr>
            <sz val="8"/>
            <color indexed="81"/>
            <rFont val="Tahoma"/>
            <family val="2"/>
          </rPr>
          <t xml:space="preserve">
early retirement indicator</t>
        </r>
      </text>
    </comment>
    <comment ref="D24" authorId="0" shapeId="0" xr:uid="{00000000-0006-0000-0200-000004000000}">
      <text>
        <r>
          <rPr>
            <b/>
            <sz val="8"/>
            <color indexed="81"/>
            <rFont val="Tahoma"/>
            <family val="2"/>
          </rPr>
          <t>Julia Wood:</t>
        </r>
        <r>
          <rPr>
            <sz val="8"/>
            <color indexed="81"/>
            <rFont val="Tahoma"/>
            <family val="2"/>
          </rPr>
          <t xml:space="preserve">
row number to look at in the pay rise table</t>
        </r>
      </text>
    </comment>
    <comment ref="I40" authorId="0" shapeId="0" xr:uid="{00000000-0006-0000-0200-000005000000}">
      <text>
        <r>
          <rPr>
            <b/>
            <sz val="8"/>
            <color indexed="81"/>
            <rFont val="Tahoma"/>
            <family val="2"/>
          </rPr>
          <t>Julia Wood:</t>
        </r>
        <r>
          <rPr>
            <sz val="8"/>
            <color indexed="81"/>
            <rFont val="Tahoma"/>
            <family val="2"/>
          </rPr>
          <t xml:space="preserve">
residual figures calculated as balance for day 1 (classic and premium) rather than according to scheme rules</t>
        </r>
      </text>
    </comment>
    <comment ref="E41" authorId="0" shapeId="0" xr:uid="{00000000-0006-0000-0200-000006000000}">
      <text>
        <r>
          <rPr>
            <b/>
            <sz val="8"/>
            <color indexed="81"/>
            <rFont val="Tahoma"/>
            <family val="2"/>
          </rPr>
          <t>Julia Wood:</t>
        </r>
        <r>
          <rPr>
            <sz val="8"/>
            <color indexed="81"/>
            <rFont val="Tahoma"/>
            <family val="2"/>
          </rPr>
          <t xml:space="preserve">
Pay uses premium definition if member is in classic plus</t>
        </r>
      </text>
    </comment>
    <comment ref="A62" authorId="0" shapeId="0" xr:uid="{00000000-0006-0000-0200-000007000000}">
      <text>
        <r>
          <rPr>
            <b/>
            <sz val="8"/>
            <color indexed="81"/>
            <rFont val="Tahoma"/>
            <family val="2"/>
          </rPr>
          <t>Julia Wood:</t>
        </r>
        <r>
          <rPr>
            <sz val="8"/>
            <color indexed="81"/>
            <rFont val="Tahoma"/>
            <family val="2"/>
          </rPr>
          <t xml:space="preserve">
abatement error message</t>
        </r>
      </text>
    </comment>
  </commentList>
</comments>
</file>

<file path=xl/sharedStrings.xml><?xml version="1.0" encoding="utf-8"?>
<sst xmlns="http://schemas.openxmlformats.org/spreadsheetml/2006/main" count="143" uniqueCount="118">
  <si>
    <t>Partial retirement calculator</t>
  </si>
  <si>
    <t>Salary of reference</t>
  </si>
  <si>
    <t>scheme</t>
  </si>
  <si>
    <t>New pensionable salary (actual)</t>
  </si>
  <si>
    <t>Earnings margin</t>
  </si>
  <si>
    <t>Calc'd</t>
  </si>
  <si>
    <t>service</t>
  </si>
  <si>
    <t>new hours</t>
  </si>
  <si>
    <t>RPI</t>
  </si>
  <si>
    <t>how much pension to take now?</t>
  </si>
  <si>
    <t>pay rises (RPI+)</t>
  </si>
  <si>
    <t>classic</t>
  </si>
  <si>
    <t>residual service</t>
  </si>
  <si>
    <t>Projections</t>
  </si>
  <si>
    <t>at partial retirement</t>
  </si>
  <si>
    <t>assume to be last 12 months/last scheme year</t>
  </si>
  <si>
    <t>classic pay</t>
  </si>
  <si>
    <t>premium pay</t>
  </si>
  <si>
    <t>rolling avg</t>
  </si>
  <si>
    <t>(inc RPI)</t>
  </si>
  <si>
    <t>partial pension</t>
  </si>
  <si>
    <t>abatement</t>
  </si>
  <si>
    <t>classic residual</t>
  </si>
  <si>
    <t>premium residual</t>
  </si>
  <si>
    <t>earnings plus pension less abatement</t>
  </si>
  <si>
    <t>max service</t>
  </si>
  <si>
    <t>partial pension less abatement</t>
  </si>
  <si>
    <t>lump sum</t>
  </si>
  <si>
    <t>actual pension in payment</t>
  </si>
  <si>
    <t>max lump sum</t>
  </si>
  <si>
    <t>actual lump sum</t>
  </si>
  <si>
    <t>standard lump sum</t>
  </si>
  <si>
    <t>after partial retirement</t>
  </si>
  <si>
    <t>final total pension</t>
  </si>
  <si>
    <t>pension elements</t>
  </si>
  <si>
    <t>premium</t>
  </si>
  <si>
    <t>classic AP</t>
  </si>
  <si>
    <t>premium AP</t>
  </si>
  <si>
    <t>pension</t>
  </si>
  <si>
    <t>total</t>
  </si>
  <si>
    <t>equivalent service</t>
  </si>
  <si>
    <t>pension for abatement purposes</t>
  </si>
  <si>
    <t>actual earnings</t>
  </si>
  <si>
    <t>pension after abatement</t>
  </si>
  <si>
    <t>The green columns give a projection of the lump sum you are building up; we have assumed that you will commute pension to lump sum in the same proportion as you have chosen to do now..</t>
  </si>
  <si>
    <t>classic service</t>
  </si>
  <si>
    <t>premium service</t>
  </si>
  <si>
    <t>residual service/pension</t>
  </si>
  <si>
    <t>after commutation</t>
  </si>
  <si>
    <t>Your final pension will reflect the pay definition in your pension scheme.  Depending on your circumstances this may mean that your pension is based on an earlier period of service rather than your last 12 months.  The model attempts to take this into account but you need to make sure that you understand how this particular aspect of your pension scheme works for you.</t>
  </si>
  <si>
    <t>fulltime rate - old pay + RPI</t>
  </si>
  <si>
    <t>what they actually got</t>
  </si>
  <si>
    <t>actual rate (not fulltime)</t>
  </si>
  <si>
    <t xml:space="preserve">The yellow columns show your projected combined income (earnings plus pension less any abatement) for the next few years.  </t>
  </si>
  <si>
    <t xml:space="preserve"> The red line gives a projection of the pension you would get on final retirement (including the partial pension you have already drawn).</t>
  </si>
  <si>
    <t>full-time rate of new pay</t>
  </si>
  <si>
    <t>Fulltime pensionable pay</t>
  </si>
  <si>
    <t>Please read the important notes on the next page.  The numbers reflect the information you have keyed in to the calculator:</t>
  </si>
  <si>
    <t>Notes:</t>
  </si>
  <si>
    <t>If you have any queries, please contact your pension administrator (APAC).</t>
  </si>
  <si>
    <t>reckonable service</t>
  </si>
  <si>
    <t>Which scheme are you in?</t>
  </si>
  <si>
    <t>classic plus</t>
  </si>
  <si>
    <t>How much have your pensionable earnings been in the last 12 months (before partial retirement)?</t>
  </si>
  <si>
    <t>Please provide the actual rate rather than the full-time rate</t>
  </si>
  <si>
    <t>How much is your new pensionable salary (after your job re-shaping on partial retirement)?</t>
  </si>
  <si>
    <t>What will your working pattern be after your job reshaping?</t>
  </si>
  <si>
    <t>Enter 1 for fulltime working and show part time working as a decimal - for instance, half-time working as 0.5</t>
  </si>
  <si>
    <t xml:space="preserve">You can choose a lump sum choice between </t>
  </si>
  <si>
    <t>What pension benefits would you like to draw?</t>
  </si>
  <si>
    <t>Your chosen lump sum</t>
  </si>
  <si>
    <t>How do you think your pay might increase in the future?</t>
  </si>
  <si>
    <t>no increases</t>
  </si>
  <si>
    <t>before abatement</t>
  </si>
  <si>
    <t>Now please look at the graph and notes on the sheet labelled "Your Results"</t>
  </si>
  <si>
    <t>The calculator is intended to help you understand the effects of partial retirement on your income now and when you finally retire. You should be aware, though, that the calculator may not be sufficiently sophisticated to reflect your own particular circumstances.  In particular, if your pensionable pay is not your 'last 12 months' the future projections of pensionable pay may be wrong.</t>
  </si>
  <si>
    <t>Added Pension</t>
  </si>
  <si>
    <t>This calculator is intended to help you understand how partial retirement will affect your income now and when you finally retire.  The projections are, however, simplified and may not reflect your own personal circumstances.  Enter details in the blue boxes.</t>
  </si>
  <si>
    <t>chosen pension</t>
  </si>
  <si>
    <t>Section 1: About you and your pension</t>
  </si>
  <si>
    <t>Section 2: About your new job and partial retirement</t>
  </si>
  <si>
    <t>How old are you?</t>
  </si>
  <si>
    <t>Age</t>
  </si>
  <si>
    <t>Partial retirement calculator - classic, premium and classic plus members</t>
  </si>
  <si>
    <t>Actuarial reduction table</t>
  </si>
  <si>
    <t>classic LS</t>
  </si>
  <si>
    <r>
      <t>Please provide details of the pension you have built up</t>
    </r>
    <r>
      <rPr>
        <sz val="10"/>
        <rFont val="Arial"/>
        <family val="2"/>
      </rPr>
      <t xml:space="preserve">.  </t>
    </r>
  </si>
  <si>
    <t xml:space="preserve">The figures on your most recent benefit statement will probably be good enough to start with.  </t>
  </si>
  <si>
    <t>Total benefits</t>
  </si>
  <si>
    <r>
      <t xml:space="preserve">If you are under pension age don't make any adjustment for an early payment reduction, we will work this out for you and include it in </t>
    </r>
    <r>
      <rPr>
        <b/>
        <i/>
        <sz val="10"/>
        <rFont val="Arial"/>
        <family val="2"/>
      </rPr>
      <t>"total benefits"</t>
    </r>
  </si>
  <si>
    <t>after reduction</t>
  </si>
  <si>
    <t>max extra LS now (reflecting ARR)</t>
  </si>
  <si>
    <t>uprate to unreduced amount</t>
  </si>
  <si>
    <t>age</t>
  </si>
  <si>
    <t>reduction</t>
  </si>
  <si>
    <t>LS reduction</t>
  </si>
  <si>
    <t>actual pension (ARR)</t>
  </si>
  <si>
    <t>standard lump sum - reflecting ARR</t>
  </si>
  <si>
    <t>If you are under pension age (60) the calculator makes an allowance for early retirement reduction to benefits (pension and lump sum) drawn before 60.  If this affects you, please make sure you understand the implications before committing yourself.</t>
  </si>
  <si>
    <t>pensionable earnings</t>
  </si>
  <si>
    <t>This is known as the "salary of reference". If you have been full-time for the last year, enter your pensionable earnings (as above). 
Part-timers need to work out their actual pensionable earnings in the last year.</t>
  </si>
  <si>
    <t>standard</t>
  </si>
  <si>
    <t>maximum</t>
  </si>
  <si>
    <t>my choice</t>
  </si>
  <si>
    <t xml:space="preserve">will give you a net pension of  </t>
  </si>
  <si>
    <t>all pension</t>
  </si>
  <si>
    <t>You can only draw your added pension if you choose "all pension"</t>
  </si>
  <si>
    <t>basic pension</t>
  </si>
  <si>
    <t>y</t>
  </si>
  <si>
    <t>d</t>
  </si>
  <si>
    <t>less than CPI</t>
  </si>
  <si>
    <t>CPI</t>
  </si>
  <si>
    <t>a bit more than CPI</t>
  </si>
  <si>
    <t>double CPI</t>
  </si>
  <si>
    <t>Age at early retirement (in years and complete months)</t>
  </si>
  <si>
    <t>months</t>
  </si>
  <si>
    <t>Lump sum</t>
  </si>
  <si>
    <t>Pension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</si>
</sst>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quot;#,##0.00"/>
    <numFmt numFmtId="165" formatCode="#,##0.0000"/>
    <numFmt numFmtId="166" formatCode="&quot;£&quot;#,##0"/>
    <numFmt numFmtId="167" formatCode="0.000"/>
  </numFmts>
  <fonts count="15" x14ac:knownFonts="1">
    <font>
      <sz val="10"/>
      <name val="Arial"/>
    </font>
    <font>
      <b/>
      <sz val="10"/>
      <name val="Arial"/>
      <family val="2"/>
    </font>
    <font>
      <sz val="8"/>
      <name val="Arial"/>
      <family val="2"/>
    </font>
    <font>
      <i/>
      <sz val="10"/>
      <name val="Arial"/>
      <family val="2"/>
    </font>
    <font>
      <b/>
      <i/>
      <sz val="10"/>
      <color indexed="10"/>
      <name val="Arial"/>
      <family val="2"/>
    </font>
    <font>
      <sz val="8"/>
      <color indexed="81"/>
      <name val="Tahoma"/>
      <family val="2"/>
    </font>
    <font>
      <b/>
      <sz val="8"/>
      <color indexed="81"/>
      <name val="Tahoma"/>
      <family val="2"/>
    </font>
    <font>
      <b/>
      <sz val="14"/>
      <name val="Arial"/>
      <family val="2"/>
    </font>
    <font>
      <b/>
      <i/>
      <sz val="10"/>
      <color indexed="12"/>
      <name val="Arial"/>
      <family val="2"/>
    </font>
    <font>
      <b/>
      <sz val="12"/>
      <name val="Arial"/>
      <family val="2"/>
    </font>
    <font>
      <sz val="12"/>
      <name val="Arial"/>
      <family val="2"/>
    </font>
    <font>
      <b/>
      <i/>
      <sz val="10"/>
      <name val="Arial"/>
      <family val="2"/>
    </font>
    <font>
      <sz val="10"/>
      <name val="Arial"/>
      <family val="2"/>
    </font>
    <font>
      <sz val="10"/>
      <color rgb="FF000000"/>
      <name val="Arial"/>
      <family val="2"/>
    </font>
    <font>
      <b/>
      <sz val="10"/>
      <color rgb="FF000000"/>
      <name val="Arial"/>
      <family val="2"/>
    </font>
  </fonts>
  <fills count="6">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26"/>
        <bgColor indexed="64"/>
      </patternFill>
    </fill>
    <fill>
      <patternFill patternType="solid">
        <fgColor indexed="47"/>
        <bgColor indexed="64"/>
      </patternFill>
    </fill>
  </fills>
  <borders count="19">
    <border>
      <left/>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top style="thin">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style="medium">
        <color indexed="64"/>
      </bottom>
      <diagonal/>
    </border>
    <border>
      <left/>
      <right style="medium">
        <color indexed="64"/>
      </right>
      <top/>
      <bottom/>
      <diagonal/>
    </border>
    <border>
      <left/>
      <right/>
      <top style="medium">
        <color indexed="64"/>
      </top>
      <bottom/>
      <diagonal/>
    </border>
    <border>
      <left/>
      <right/>
      <top/>
      <bottom style="medium">
        <color indexed="64"/>
      </bottom>
      <diagonal/>
    </border>
  </borders>
  <cellStyleXfs count="1">
    <xf numFmtId="0" fontId="0" fillId="0" borderId="0"/>
  </cellStyleXfs>
  <cellXfs count="72">
    <xf numFmtId="0" fontId="0" fillId="0" borderId="0" xfId="0"/>
    <xf numFmtId="0" fontId="1" fillId="0" borderId="0" xfId="0" applyFont="1"/>
    <xf numFmtId="4" fontId="0" fillId="0" borderId="0" xfId="0" applyNumberFormat="1"/>
    <xf numFmtId="2" fontId="0" fillId="0" borderId="0" xfId="0" applyNumberFormat="1"/>
    <xf numFmtId="3" fontId="0" fillId="0" borderId="0" xfId="0" applyNumberFormat="1"/>
    <xf numFmtId="0" fontId="0" fillId="0" borderId="0" xfId="0" applyAlignment="1">
      <alignment wrapText="1"/>
    </xf>
    <xf numFmtId="4" fontId="1" fillId="0" borderId="0" xfId="0" applyNumberFormat="1" applyFont="1"/>
    <xf numFmtId="0" fontId="0" fillId="2" borderId="0" xfId="0" applyFill="1"/>
    <xf numFmtId="4" fontId="0" fillId="2" borderId="0" xfId="0" applyNumberFormat="1" applyFill="1"/>
    <xf numFmtId="0" fontId="1" fillId="0" borderId="0" xfId="0" applyFont="1" applyAlignment="1">
      <alignment wrapText="1"/>
    </xf>
    <xf numFmtId="0" fontId="3" fillId="0" borderId="0" xfId="0" applyFont="1"/>
    <xf numFmtId="0" fontId="4" fillId="0" borderId="0" xfId="0" applyFont="1"/>
    <xf numFmtId="0" fontId="0" fillId="0" borderId="1" xfId="0" applyBorder="1"/>
    <xf numFmtId="0" fontId="0" fillId="0" borderId="2" xfId="0" applyBorder="1"/>
    <xf numFmtId="0" fontId="0" fillId="0" borderId="3" xfId="0" applyBorder="1"/>
    <xf numFmtId="4" fontId="0" fillId="0" borderId="3" xfId="0" applyNumberFormat="1" applyBorder="1"/>
    <xf numFmtId="0" fontId="0" fillId="0" borderId="4" xfId="0" applyBorder="1"/>
    <xf numFmtId="0" fontId="7" fillId="0" borderId="0" xfId="0" applyFont="1"/>
    <xf numFmtId="0" fontId="0" fillId="3" borderId="5" xfId="0" applyFill="1" applyBorder="1" applyProtection="1">
      <protection locked="0"/>
    </xf>
    <xf numFmtId="164" fontId="0" fillId="0" borderId="0" xfId="0" applyNumberFormat="1"/>
    <xf numFmtId="166" fontId="0" fillId="3" borderId="5" xfId="0" applyNumberFormat="1" applyFill="1" applyBorder="1" applyProtection="1">
      <protection locked="0"/>
    </xf>
    <xf numFmtId="166" fontId="0" fillId="0" borderId="0" xfId="0" applyNumberFormat="1"/>
    <xf numFmtId="0" fontId="0" fillId="0" borderId="0" xfId="0" applyAlignment="1">
      <alignment horizontal="right"/>
    </xf>
    <xf numFmtId="0" fontId="9" fillId="0" borderId="0" xfId="0" applyFont="1" applyAlignment="1">
      <alignment vertical="center"/>
    </xf>
    <xf numFmtId="0" fontId="10" fillId="0" borderId="0" xfId="0" applyFont="1"/>
    <xf numFmtId="0" fontId="9" fillId="0" borderId="0" xfId="0" applyFont="1"/>
    <xf numFmtId="0" fontId="0" fillId="4" borderId="6" xfId="0" applyFill="1" applyBorder="1" applyAlignment="1">
      <alignment wrapText="1"/>
    </xf>
    <xf numFmtId="0" fontId="0" fillId="4" borderId="6" xfId="0" applyFill="1" applyBorder="1"/>
    <xf numFmtId="0" fontId="0" fillId="4" borderId="7" xfId="0" applyFill="1" applyBorder="1"/>
    <xf numFmtId="0" fontId="9" fillId="4" borderId="8" xfId="0" applyFont="1" applyFill="1" applyBorder="1"/>
    <xf numFmtId="0" fontId="1" fillId="5" borderId="2" xfId="0" applyFont="1" applyFill="1" applyBorder="1"/>
    <xf numFmtId="0" fontId="0" fillId="5" borderId="9" xfId="0" applyFill="1" applyBorder="1"/>
    <xf numFmtId="0" fontId="0" fillId="5" borderId="0" xfId="0" applyFill="1"/>
    <xf numFmtId="0" fontId="1" fillId="5" borderId="9" xfId="0" applyFont="1" applyFill="1" applyBorder="1" applyAlignment="1">
      <alignment horizontal="right"/>
    </xf>
    <xf numFmtId="0" fontId="1" fillId="5" borderId="10" xfId="0" applyFont="1" applyFill="1" applyBorder="1" applyAlignment="1">
      <alignment horizontal="right"/>
    </xf>
    <xf numFmtId="0" fontId="0" fillId="5" borderId="11" xfId="0" applyFill="1" applyBorder="1"/>
    <xf numFmtId="166" fontId="1" fillId="5" borderId="3" xfId="0" applyNumberFormat="1" applyFont="1" applyFill="1" applyBorder="1"/>
    <xf numFmtId="166" fontId="1" fillId="5" borderId="4" xfId="0" applyNumberFormat="1" applyFont="1" applyFill="1" applyBorder="1"/>
    <xf numFmtId="0" fontId="3" fillId="5" borderId="3" xfId="0" applyFont="1" applyFill="1" applyBorder="1" applyAlignment="1">
      <alignment horizontal="right"/>
    </xf>
    <xf numFmtId="0" fontId="1" fillId="5" borderId="1" xfId="0" applyFont="1" applyFill="1" applyBorder="1"/>
    <xf numFmtId="0" fontId="1" fillId="5" borderId="12" xfId="0" applyFont="1" applyFill="1" applyBorder="1"/>
    <xf numFmtId="166" fontId="0" fillId="5" borderId="5" xfId="0" applyNumberFormat="1" applyFill="1" applyBorder="1"/>
    <xf numFmtId="0" fontId="0" fillId="0" borderId="0" xfId="0" applyAlignment="1">
      <alignment vertical="top"/>
    </xf>
    <xf numFmtId="166" fontId="0" fillId="0" borderId="0" xfId="0" applyNumberFormat="1" applyProtection="1">
      <protection locked="0"/>
    </xf>
    <xf numFmtId="4" fontId="0" fillId="0" borderId="0" xfId="0" applyNumberFormat="1" applyAlignment="1">
      <alignment horizontal="left"/>
    </xf>
    <xf numFmtId="0" fontId="0" fillId="0" borderId="0" xfId="0" applyAlignment="1">
      <alignment horizontal="left"/>
    </xf>
    <xf numFmtId="165" fontId="0" fillId="0" borderId="0" xfId="0" applyNumberFormat="1"/>
    <xf numFmtId="164" fontId="1" fillId="0" borderId="0" xfId="0" applyNumberFormat="1" applyFont="1"/>
    <xf numFmtId="1" fontId="0" fillId="3" borderId="5" xfId="0" applyNumberFormat="1" applyFill="1" applyBorder="1" applyProtection="1">
      <protection locked="0"/>
    </xf>
    <xf numFmtId="3" fontId="0" fillId="3" borderId="5" xfId="0" applyNumberFormat="1" applyFill="1" applyBorder="1" applyProtection="1">
      <protection locked="0"/>
    </xf>
    <xf numFmtId="0" fontId="12" fillId="0" borderId="9" xfId="0" applyFont="1" applyBorder="1"/>
    <xf numFmtId="0" fontId="12" fillId="0" borderId="10" xfId="0" applyFont="1" applyBorder="1"/>
    <xf numFmtId="0" fontId="12" fillId="0" borderId="13" xfId="0" applyFont="1" applyBorder="1" applyAlignment="1">
      <alignment vertical="center"/>
    </xf>
    <xf numFmtId="0" fontId="12" fillId="0" borderId="14" xfId="0" applyFont="1" applyBorder="1" applyAlignment="1">
      <alignment horizontal="center" vertical="center"/>
    </xf>
    <xf numFmtId="0" fontId="12" fillId="0" borderId="15" xfId="0" applyFont="1" applyBorder="1" applyAlignment="1">
      <alignment horizontal="center" vertical="center"/>
    </xf>
    <xf numFmtId="0" fontId="12" fillId="0" borderId="16" xfId="0" applyFont="1" applyBorder="1" applyAlignment="1">
      <alignment horizontal="center" vertical="center"/>
    </xf>
    <xf numFmtId="167" fontId="12" fillId="0" borderId="16" xfId="0" applyNumberFormat="1" applyFont="1" applyBorder="1" applyAlignment="1">
      <alignment horizontal="right" vertical="center"/>
    </xf>
    <xf numFmtId="0" fontId="12" fillId="0" borderId="0" xfId="0" applyFont="1"/>
    <xf numFmtId="167" fontId="13" fillId="0" borderId="0" xfId="0" applyNumberFormat="1" applyFont="1"/>
    <xf numFmtId="0" fontId="4" fillId="0" borderId="0" xfId="0" applyFont="1" applyAlignment="1">
      <alignment vertical="top" wrapText="1"/>
    </xf>
    <xf numFmtId="0" fontId="0" fillId="0" borderId="0" xfId="0" applyAlignment="1">
      <alignment vertical="top" wrapText="1"/>
    </xf>
    <xf numFmtId="0" fontId="0" fillId="3" borderId="8" xfId="0" applyFill="1" applyBorder="1" applyProtection="1">
      <protection locked="0"/>
    </xf>
    <xf numFmtId="0" fontId="0" fillId="0" borderId="7" xfId="0" applyBorder="1" applyProtection="1">
      <protection locked="0"/>
    </xf>
    <xf numFmtId="0" fontId="8" fillId="0" borderId="0" xfId="0" applyFont="1" applyAlignment="1">
      <alignment vertical="center" wrapText="1"/>
    </xf>
    <xf numFmtId="0" fontId="0" fillId="0" borderId="0" xfId="0" applyAlignment="1">
      <alignment wrapText="1"/>
    </xf>
    <xf numFmtId="0" fontId="9" fillId="4" borderId="8" xfId="0" applyFont="1" applyFill="1" applyBorder="1" applyAlignment="1">
      <alignment vertical="center"/>
    </xf>
    <xf numFmtId="0" fontId="10" fillId="4" borderId="6" xfId="0" applyFont="1" applyFill="1" applyBorder="1"/>
    <xf numFmtId="0" fontId="0" fillId="4" borderId="6" xfId="0" applyFill="1" applyBorder="1"/>
    <xf numFmtId="0" fontId="3" fillId="0" borderId="0" xfId="0" applyFont="1" applyAlignment="1">
      <alignment wrapText="1"/>
    </xf>
    <xf numFmtId="0" fontId="12" fillId="0" borderId="17" xfId="0" applyFont="1" applyBorder="1" applyAlignment="1">
      <alignment horizontal="center" vertical="center" wrapText="1"/>
    </xf>
    <xf numFmtId="0" fontId="12" fillId="0" borderId="0" xfId="0" applyFont="1" applyAlignment="1">
      <alignment horizontal="center" vertical="center" wrapText="1"/>
    </xf>
    <xf numFmtId="0" fontId="12" fillId="0" borderId="18" xfId="0" applyFont="1" applyBorder="1" applyAlignment="1">
      <alignment horizontal="center" vertical="center" wrapText="1"/>
    </xf>
  </cellXfs>
  <cellStyles count="1">
    <cellStyle name="Normal" xfId="0" builtinId="0"/>
  </cellStyles>
  <dxfs count="9">
    <dxf>
      <fill>
        <patternFill>
          <bgColor rgb="FFF7F7F7"/>
        </patternFill>
      </fill>
    </dxf>
    <dxf>
      <fill>
        <patternFill>
          <bgColor rgb="FFEDEDED"/>
        </patternFill>
      </fill>
    </dxf>
    <dxf>
      <fill>
        <patternFill>
          <bgColor indexed="23"/>
        </patternFill>
      </fill>
    </dxf>
    <dxf>
      <font>
        <b val="0"/>
        <i val="0"/>
        <condense val="0"/>
        <extend val="0"/>
        <color indexed="9"/>
      </font>
    </dxf>
    <dxf>
      <font>
        <b val="0"/>
        <i val="0"/>
        <condense val="0"/>
        <extend val="0"/>
        <color auto="1"/>
      </font>
      <fill>
        <patternFill>
          <bgColor indexed="27"/>
        </patternFill>
      </fill>
      <border>
        <left style="thin">
          <color indexed="64"/>
        </left>
        <right style="thin">
          <color indexed="64"/>
        </right>
        <top style="thin">
          <color indexed="64"/>
        </top>
        <bottom style="thin">
          <color indexed="64"/>
        </bottom>
      </border>
    </dxf>
    <dxf>
      <font>
        <condense val="0"/>
        <extend val="0"/>
        <color indexed="9"/>
      </font>
      <fill>
        <patternFill patternType="none">
          <bgColor indexed="65"/>
        </patternFill>
      </fill>
      <border>
        <left/>
        <right/>
        <top/>
        <bottom/>
      </border>
    </dxf>
    <dxf>
      <font>
        <condense val="0"/>
        <extend val="0"/>
        <color auto="1"/>
      </font>
      <fill>
        <patternFill>
          <bgColor indexed="41"/>
        </patternFill>
      </fill>
      <border>
        <left style="thin">
          <color indexed="64"/>
        </left>
        <right style="thin">
          <color indexed="64"/>
        </right>
        <top style="thin">
          <color indexed="64"/>
        </top>
        <bottom style="thin">
          <color indexed="64"/>
        </bottom>
      </border>
    </dxf>
    <dxf>
      <fill>
        <patternFill>
          <bgColor indexed="23"/>
        </patternFill>
      </fill>
    </dxf>
    <dxf>
      <fill>
        <patternFill>
          <bgColor indexed="55"/>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GB"/>
              <a:t>Partial retirement - what it might mean for you</a:t>
            </a:r>
          </a:p>
        </c:rich>
      </c:tx>
      <c:layout>
        <c:manualLayout>
          <c:xMode val="edge"/>
          <c:yMode val="edge"/>
          <c:x val="0.3267211201866978"/>
          <c:y val="2.8409090909090908E-2"/>
        </c:manualLayout>
      </c:layout>
      <c:overlay val="0"/>
      <c:spPr>
        <a:noFill/>
        <a:ln w="25400">
          <a:noFill/>
        </a:ln>
      </c:spPr>
    </c:title>
    <c:autoTitleDeleted val="0"/>
    <c:plotArea>
      <c:layout>
        <c:manualLayout>
          <c:layoutTarget val="inner"/>
          <c:xMode val="edge"/>
          <c:yMode val="edge"/>
          <c:x val="0.30105017502917153"/>
          <c:y val="0.12689417409108311"/>
          <c:w val="0.68261376896149362"/>
          <c:h val="0.47916755291110491"/>
        </c:manualLayout>
      </c:layout>
      <c:barChart>
        <c:barDir val="col"/>
        <c:grouping val="clustered"/>
        <c:varyColors val="0"/>
        <c:ser>
          <c:idx val="4"/>
          <c:order val="2"/>
          <c:tx>
            <c:strRef>
              <c:f>Workings!$R$37</c:f>
              <c:strCache>
                <c:ptCount val="1"/>
                <c:pt idx="0">
                  <c:v>actual earnings</c:v>
                </c:pt>
              </c:strCache>
            </c:strRef>
          </c:tx>
          <c:spPr>
            <a:solidFill>
              <a:srgbClr val="993300"/>
            </a:solidFill>
            <a:ln w="12700">
              <a:solidFill>
                <a:srgbClr val="000000"/>
              </a:solidFill>
              <a:prstDash val="solid"/>
            </a:ln>
          </c:spPr>
          <c:invertIfNegative val="0"/>
          <c:val>
            <c:numRef>
              <c:f>Workings!$R$39</c:f>
              <c:numCache>
                <c:formatCode>#,##0</c:formatCode>
                <c:ptCount val="1"/>
                <c:pt idx="0">
                  <c:v>0</c:v>
                </c:pt>
              </c:numCache>
            </c:numRef>
          </c:val>
          <c:extLst>
            <c:ext xmlns:c16="http://schemas.microsoft.com/office/drawing/2014/chart" uri="{C3380CC4-5D6E-409C-BE32-E72D297353CC}">
              <c16:uniqueId val="{00000000-1691-458E-BBC0-E33EAFE587EB}"/>
            </c:ext>
          </c:extLst>
        </c:ser>
        <c:ser>
          <c:idx val="5"/>
          <c:order val="3"/>
          <c:tx>
            <c:strRef>
              <c:f>Workings!$S$37</c:f>
              <c:strCache>
                <c:ptCount val="1"/>
                <c:pt idx="0">
                  <c:v>actual lump sum</c:v>
                </c:pt>
              </c:strCache>
            </c:strRef>
          </c:tx>
          <c:spPr>
            <a:solidFill>
              <a:srgbClr val="99CC00"/>
            </a:solidFill>
            <a:ln w="12700">
              <a:solidFill>
                <a:srgbClr val="000000"/>
              </a:solidFill>
              <a:prstDash val="solid"/>
            </a:ln>
          </c:spPr>
          <c:invertIfNegative val="0"/>
          <c:val>
            <c:numRef>
              <c:f>Workings!$S$39</c:f>
              <c:numCache>
                <c:formatCode>#,##0</c:formatCode>
                <c:ptCount val="1"/>
                <c:pt idx="0">
                  <c:v>#N/A</c:v>
                </c:pt>
              </c:numCache>
            </c:numRef>
          </c:val>
          <c:extLst>
            <c:ext xmlns:c16="http://schemas.microsoft.com/office/drawing/2014/chart" uri="{C3380CC4-5D6E-409C-BE32-E72D297353CC}">
              <c16:uniqueId val="{00000001-1691-458E-BBC0-E33EAFE587EB}"/>
            </c:ext>
          </c:extLst>
        </c:ser>
        <c:ser>
          <c:idx val="3"/>
          <c:order val="4"/>
          <c:tx>
            <c:strRef>
              <c:f>Workings!$Q$37</c:f>
              <c:strCache>
                <c:ptCount val="1"/>
                <c:pt idx="0">
                  <c:v>earnings plus pension less abatement</c:v>
                </c:pt>
              </c:strCache>
            </c:strRef>
          </c:tx>
          <c:spPr>
            <a:solidFill>
              <a:srgbClr val="FFCC00"/>
            </a:solidFill>
            <a:ln w="12700">
              <a:solidFill>
                <a:srgbClr val="000000"/>
              </a:solidFill>
              <a:prstDash val="solid"/>
            </a:ln>
          </c:spPr>
          <c:invertIfNegative val="0"/>
          <c:cat>
            <c:strRef>
              <c:f>Workings!$A$39:$A$48</c:f>
              <c:strCache>
                <c:ptCount val="10"/>
                <c:pt idx="0">
                  <c:v>at partial retirement</c:v>
                </c:pt>
                <c:pt idx="1">
                  <c:v>after partial retirement</c:v>
                </c:pt>
                <c:pt idx="2">
                  <c:v>+ 1 year</c:v>
                </c:pt>
                <c:pt idx="3">
                  <c:v>+ 2 years</c:v>
                </c:pt>
                <c:pt idx="4">
                  <c:v>+ 3 years</c:v>
                </c:pt>
                <c:pt idx="5">
                  <c:v>+ 4 years</c:v>
                </c:pt>
                <c:pt idx="6">
                  <c:v>+ 5 years</c:v>
                </c:pt>
                <c:pt idx="7">
                  <c:v>+ 6 years</c:v>
                </c:pt>
                <c:pt idx="8">
                  <c:v>+ 7 years</c:v>
                </c:pt>
                <c:pt idx="9">
                  <c:v>+ 8 years</c:v>
                </c:pt>
              </c:strCache>
            </c:strRef>
          </c:cat>
          <c:val>
            <c:numRef>
              <c:f>Workings!$Q$39:$Q$48</c:f>
              <c:numCache>
                <c:formatCode>#,##0</c:formatCode>
                <c:ptCount val="10"/>
                <c:pt idx="1">
                  <c:v>#N/A</c:v>
                </c:pt>
                <c:pt idx="2">
                  <c:v>#N/A</c:v>
                </c:pt>
                <c:pt idx="3">
                  <c:v>#N/A</c:v>
                </c:pt>
                <c:pt idx="4">
                  <c:v>#N/A</c:v>
                </c:pt>
                <c:pt idx="5">
                  <c:v>#N/A</c:v>
                </c:pt>
                <c:pt idx="6">
                  <c:v>#N/A</c:v>
                </c:pt>
                <c:pt idx="7">
                  <c:v>#N/A</c:v>
                </c:pt>
                <c:pt idx="8">
                  <c:v>#N/A</c:v>
                </c:pt>
                <c:pt idx="9">
                  <c:v>#N/A</c:v>
                </c:pt>
              </c:numCache>
            </c:numRef>
          </c:val>
          <c:extLst>
            <c:ext xmlns:c16="http://schemas.microsoft.com/office/drawing/2014/chart" uri="{C3380CC4-5D6E-409C-BE32-E72D297353CC}">
              <c16:uniqueId val="{00000002-1691-458E-BBC0-E33EAFE587EB}"/>
            </c:ext>
          </c:extLst>
        </c:ser>
        <c:ser>
          <c:idx val="1"/>
          <c:order val="5"/>
          <c:tx>
            <c:strRef>
              <c:f>Workings!$T$37</c:f>
              <c:strCache>
                <c:ptCount val="1"/>
                <c:pt idx="0">
                  <c:v>lump sum</c:v>
                </c:pt>
              </c:strCache>
            </c:strRef>
          </c:tx>
          <c:spPr>
            <a:solidFill>
              <a:srgbClr val="339966"/>
            </a:solidFill>
            <a:ln w="12700">
              <a:solidFill>
                <a:srgbClr val="000000"/>
              </a:solidFill>
              <a:prstDash val="solid"/>
            </a:ln>
          </c:spPr>
          <c:invertIfNegative val="0"/>
          <c:val>
            <c:numRef>
              <c:f>Workings!$T$39:$T$48</c:f>
              <c:numCache>
                <c:formatCode>#,##0</c:formatCode>
                <c:ptCount val="10"/>
                <c:pt idx="1">
                  <c:v>#N/A</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3-1691-458E-BBC0-E33EAFE587EB}"/>
            </c:ext>
          </c:extLst>
        </c:ser>
        <c:dLbls>
          <c:showLegendKey val="0"/>
          <c:showVal val="0"/>
          <c:showCatName val="0"/>
          <c:showSerName val="0"/>
          <c:showPercent val="0"/>
          <c:showBubbleSize val="0"/>
        </c:dLbls>
        <c:gapWidth val="150"/>
        <c:axId val="51853952"/>
        <c:axId val="51856128"/>
      </c:barChart>
      <c:lineChart>
        <c:grouping val="standard"/>
        <c:varyColors val="0"/>
        <c:ser>
          <c:idx val="2"/>
          <c:order val="0"/>
          <c:tx>
            <c:strRef>
              <c:f>Workings!$P$37</c:f>
              <c:strCache>
                <c:ptCount val="1"/>
                <c:pt idx="0">
                  <c:v>final total pension</c:v>
                </c:pt>
              </c:strCache>
            </c:strRef>
          </c:tx>
          <c:spPr>
            <a:ln w="38100">
              <a:solidFill>
                <a:srgbClr val="FF0000"/>
              </a:solidFill>
              <a:prstDash val="solid"/>
            </a:ln>
          </c:spPr>
          <c:marker>
            <c:symbol val="none"/>
          </c:marker>
          <c:cat>
            <c:strRef>
              <c:f>Workings!$A$39:$A$48</c:f>
              <c:strCache>
                <c:ptCount val="10"/>
                <c:pt idx="0">
                  <c:v>at partial retirement</c:v>
                </c:pt>
                <c:pt idx="1">
                  <c:v>after partial retirement</c:v>
                </c:pt>
                <c:pt idx="2">
                  <c:v>+ 1 year</c:v>
                </c:pt>
                <c:pt idx="3">
                  <c:v>+ 2 years</c:v>
                </c:pt>
                <c:pt idx="4">
                  <c:v>+ 3 years</c:v>
                </c:pt>
                <c:pt idx="5">
                  <c:v>+ 4 years</c:v>
                </c:pt>
                <c:pt idx="6">
                  <c:v>+ 5 years</c:v>
                </c:pt>
                <c:pt idx="7">
                  <c:v>+ 6 years</c:v>
                </c:pt>
                <c:pt idx="8">
                  <c:v>+ 7 years</c:v>
                </c:pt>
                <c:pt idx="9">
                  <c:v>+ 8 years</c:v>
                </c:pt>
              </c:strCache>
            </c:strRef>
          </c:cat>
          <c:val>
            <c:numRef>
              <c:f>Workings!$P$39:$P$48</c:f>
              <c:numCache>
                <c:formatCode>#,##0</c:formatCode>
                <c:ptCount val="10"/>
                <c:pt idx="1">
                  <c:v>#N/A</c:v>
                </c:pt>
                <c:pt idx="2">
                  <c:v>#N/A</c:v>
                </c:pt>
                <c:pt idx="3">
                  <c:v>#N/A</c:v>
                </c:pt>
                <c:pt idx="4">
                  <c:v>#N/A</c:v>
                </c:pt>
                <c:pt idx="5">
                  <c:v>#N/A</c:v>
                </c:pt>
                <c:pt idx="6">
                  <c:v>#N/A</c:v>
                </c:pt>
                <c:pt idx="7">
                  <c:v>#N/A</c:v>
                </c:pt>
                <c:pt idx="8">
                  <c:v>#N/A</c:v>
                </c:pt>
                <c:pt idx="9">
                  <c:v>#N/A</c:v>
                </c:pt>
              </c:numCache>
            </c:numRef>
          </c:val>
          <c:smooth val="0"/>
          <c:extLst>
            <c:ext xmlns:c16="http://schemas.microsoft.com/office/drawing/2014/chart" uri="{C3380CC4-5D6E-409C-BE32-E72D297353CC}">
              <c16:uniqueId val="{00000004-1691-458E-BBC0-E33EAFE587EB}"/>
            </c:ext>
          </c:extLst>
        </c:ser>
        <c:ser>
          <c:idx val="0"/>
          <c:order val="1"/>
          <c:tx>
            <c:strRef>
              <c:f>Workings!$N$37</c:f>
              <c:strCache>
                <c:ptCount val="1"/>
                <c:pt idx="0">
                  <c:v>abatement</c:v>
                </c:pt>
              </c:strCache>
            </c:strRef>
          </c:tx>
          <c:spPr>
            <a:ln w="25400">
              <a:solidFill>
                <a:srgbClr val="000000"/>
              </a:solidFill>
              <a:prstDash val="solid"/>
            </a:ln>
          </c:spPr>
          <c:marker>
            <c:symbol val="none"/>
          </c:marker>
          <c:cat>
            <c:strRef>
              <c:f>Workings!$A$39:$A$48</c:f>
              <c:strCache>
                <c:ptCount val="10"/>
                <c:pt idx="0">
                  <c:v>at partial retirement</c:v>
                </c:pt>
                <c:pt idx="1">
                  <c:v>after partial retirement</c:v>
                </c:pt>
                <c:pt idx="2">
                  <c:v>+ 1 year</c:v>
                </c:pt>
                <c:pt idx="3">
                  <c:v>+ 2 years</c:v>
                </c:pt>
                <c:pt idx="4">
                  <c:v>+ 3 years</c:v>
                </c:pt>
                <c:pt idx="5">
                  <c:v>+ 4 years</c:v>
                </c:pt>
                <c:pt idx="6">
                  <c:v>+ 5 years</c:v>
                </c:pt>
                <c:pt idx="7">
                  <c:v>+ 6 years</c:v>
                </c:pt>
                <c:pt idx="8">
                  <c:v>+ 7 years</c:v>
                </c:pt>
                <c:pt idx="9">
                  <c:v>+ 8 years</c:v>
                </c:pt>
              </c:strCache>
            </c:strRef>
          </c:cat>
          <c:val>
            <c:numRef>
              <c:f>Workings!$N$39:$N$48</c:f>
              <c:numCache>
                <c:formatCode>#,##0</c:formatCode>
                <c:ptCount val="10"/>
                <c:pt idx="1">
                  <c:v>#N/A</c:v>
                </c:pt>
                <c:pt idx="2">
                  <c:v>#N/A</c:v>
                </c:pt>
                <c:pt idx="3">
                  <c:v>#N/A</c:v>
                </c:pt>
                <c:pt idx="4">
                  <c:v>#N/A</c:v>
                </c:pt>
                <c:pt idx="5">
                  <c:v>#N/A</c:v>
                </c:pt>
                <c:pt idx="6">
                  <c:v>#N/A</c:v>
                </c:pt>
                <c:pt idx="7">
                  <c:v>#N/A</c:v>
                </c:pt>
                <c:pt idx="8">
                  <c:v>#N/A</c:v>
                </c:pt>
                <c:pt idx="9">
                  <c:v>#N/A</c:v>
                </c:pt>
              </c:numCache>
            </c:numRef>
          </c:val>
          <c:smooth val="0"/>
          <c:extLst>
            <c:ext xmlns:c16="http://schemas.microsoft.com/office/drawing/2014/chart" uri="{C3380CC4-5D6E-409C-BE32-E72D297353CC}">
              <c16:uniqueId val="{00000005-1691-458E-BBC0-E33EAFE587EB}"/>
            </c:ext>
          </c:extLst>
        </c:ser>
        <c:dLbls>
          <c:showLegendKey val="0"/>
          <c:showVal val="0"/>
          <c:showCatName val="0"/>
          <c:showSerName val="0"/>
          <c:showPercent val="0"/>
          <c:showBubbleSize val="0"/>
        </c:dLbls>
        <c:marker val="1"/>
        <c:smooth val="0"/>
        <c:axId val="51853952"/>
        <c:axId val="51856128"/>
      </c:lineChart>
      <c:catAx>
        <c:axId val="51853952"/>
        <c:scaling>
          <c:orientation val="minMax"/>
        </c:scaling>
        <c:delete val="0"/>
        <c:axPos val="b"/>
        <c:title>
          <c:tx>
            <c:rich>
              <a:bodyPr/>
              <a:lstStyle/>
              <a:p>
                <a:pPr>
                  <a:defRPr sz="800" b="0" i="0" u="none" strike="noStrike" baseline="0">
                    <a:solidFill>
                      <a:srgbClr val="000000"/>
                    </a:solidFill>
                    <a:latin typeface="Arial"/>
                    <a:ea typeface="Arial"/>
                    <a:cs typeface="Arial"/>
                  </a:defRPr>
                </a:pPr>
                <a:r>
                  <a:rPr lang="en-GB"/>
                  <a:t>time</a:t>
                </a:r>
              </a:p>
            </c:rich>
          </c:tx>
          <c:layout>
            <c:manualLayout>
              <c:xMode val="edge"/>
              <c:yMode val="edge"/>
              <c:x val="0.62893815635939321"/>
              <c:y val="0.931819971367215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Arial"/>
                <a:ea typeface="Arial"/>
                <a:cs typeface="Arial"/>
              </a:defRPr>
            </a:pPr>
            <a:endParaRPr lang="en-US"/>
          </a:p>
        </c:txPr>
        <c:crossAx val="51856128"/>
        <c:crosses val="autoZero"/>
        <c:auto val="1"/>
        <c:lblAlgn val="ctr"/>
        <c:lblOffset val="100"/>
        <c:tickMarkSkip val="1"/>
        <c:noMultiLvlLbl val="0"/>
      </c:catAx>
      <c:valAx>
        <c:axId val="51856128"/>
        <c:scaling>
          <c:orientation val="minMax"/>
        </c:scaling>
        <c:delete val="0"/>
        <c:axPos val="l"/>
        <c:majorGridlines>
          <c:spPr>
            <a:ln w="3175">
              <a:solidFill>
                <a:srgbClr val="000000"/>
              </a:solidFill>
              <a:prstDash val="solid"/>
            </a:ln>
          </c:spPr>
        </c:majorGridlines>
        <c:title>
          <c:tx>
            <c:rich>
              <a:bodyPr/>
              <a:lstStyle/>
              <a:p>
                <a:pPr>
                  <a:defRPr sz="800" b="1" i="0" u="none" strike="noStrike" baseline="0">
                    <a:solidFill>
                      <a:srgbClr val="000000"/>
                    </a:solidFill>
                    <a:latin typeface="Arial"/>
                    <a:ea typeface="Arial"/>
                    <a:cs typeface="Arial"/>
                  </a:defRPr>
                </a:pPr>
                <a:r>
                  <a:rPr lang="en-GB"/>
                  <a:t>£</a:t>
                </a:r>
              </a:p>
            </c:rich>
          </c:tx>
          <c:layout>
            <c:manualLayout>
              <c:xMode val="edge"/>
              <c:yMode val="edge"/>
              <c:x val="0.21703617269544925"/>
              <c:y val="0.34848544500119299"/>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51853952"/>
        <c:crosses val="autoZero"/>
        <c:crossBetween val="between"/>
      </c:valAx>
      <c:dTable>
        <c:showHorzBorder val="1"/>
        <c:showVertBorder val="1"/>
        <c:showOutline val="1"/>
        <c:showKeys val="1"/>
        <c:spPr>
          <a:ln w="3175">
            <a:solidFill>
              <a:srgbClr val="000000"/>
            </a:solidFill>
            <a:prstDash val="solid"/>
          </a:ln>
        </c:spPr>
        <c:txPr>
          <a:bodyPr/>
          <a:lstStyle/>
          <a:p>
            <a:pPr rtl="0">
              <a:defRPr sz="800" b="0" i="0" u="none" strike="noStrike" baseline="0">
                <a:solidFill>
                  <a:srgbClr val="000000"/>
                </a:solidFill>
                <a:latin typeface="Arial"/>
                <a:ea typeface="Arial"/>
                <a:cs typeface="Arial"/>
              </a:defRPr>
            </a:pPr>
            <a:endParaRPr lang="en-US"/>
          </a:p>
        </c:txPr>
      </c:dTable>
      <c:spPr>
        <a:pattFill prst="ltDnDiag">
          <a:fgClr>
            <a:srgbClr val="FFCC99"/>
          </a:fgClr>
          <a:bgClr>
            <a:srgbClr val="FFFFFF"/>
          </a:bgClr>
        </a:patt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trlProps/ctrlProp1.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144780</xdr:colOff>
      <xdr:row>41</xdr:row>
      <xdr:rowOff>91440</xdr:rowOff>
    </xdr:from>
    <xdr:to>
      <xdr:col>1</xdr:col>
      <xdr:colOff>495300</xdr:colOff>
      <xdr:row>41</xdr:row>
      <xdr:rowOff>91440</xdr:rowOff>
    </xdr:to>
    <xdr:sp macro="" textlink="">
      <xdr:nvSpPr>
        <xdr:cNvPr id="5233" name="Line 4">
          <a:extLst>
            <a:ext uri="{FF2B5EF4-FFF2-40B4-BE49-F238E27FC236}">
              <a16:creationId xmlns:a16="http://schemas.microsoft.com/office/drawing/2014/main" id="{00000000-0008-0000-0000-000071140000}"/>
            </a:ext>
          </a:extLst>
        </xdr:cNvPr>
        <xdr:cNvSpPr>
          <a:spLocks noChangeShapeType="1"/>
        </xdr:cNvSpPr>
      </xdr:nvSpPr>
      <xdr:spPr bwMode="auto">
        <a:xfrm>
          <a:off x="350520" y="6941820"/>
          <a:ext cx="350520" cy="0"/>
        </a:xfrm>
        <a:prstGeom prst="line">
          <a:avLst/>
        </a:prstGeom>
        <a:noFill/>
        <a:ln w="1587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350520</xdr:colOff>
      <xdr:row>37</xdr:row>
      <xdr:rowOff>99060</xdr:rowOff>
    </xdr:from>
    <xdr:to>
      <xdr:col>7</xdr:col>
      <xdr:colOff>586740</xdr:colOff>
      <xdr:row>37</xdr:row>
      <xdr:rowOff>99060</xdr:rowOff>
    </xdr:to>
    <xdr:sp macro="" textlink="">
      <xdr:nvSpPr>
        <xdr:cNvPr id="5235" name="Line 24">
          <a:extLst>
            <a:ext uri="{FF2B5EF4-FFF2-40B4-BE49-F238E27FC236}">
              <a16:creationId xmlns:a16="http://schemas.microsoft.com/office/drawing/2014/main" id="{00000000-0008-0000-0000-000073140000}"/>
            </a:ext>
          </a:extLst>
        </xdr:cNvPr>
        <xdr:cNvSpPr>
          <a:spLocks noChangeShapeType="1"/>
        </xdr:cNvSpPr>
      </xdr:nvSpPr>
      <xdr:spPr bwMode="auto">
        <a:xfrm>
          <a:off x="3970020" y="6187440"/>
          <a:ext cx="65532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xdr:from>
          <xdr:col>13</xdr:col>
          <xdr:colOff>19050</xdr:colOff>
          <xdr:row>28</xdr:row>
          <xdr:rowOff>31750</xdr:rowOff>
        </xdr:from>
        <xdr:to>
          <xdr:col>16</xdr:col>
          <xdr:colOff>508000</xdr:colOff>
          <xdr:row>30</xdr:row>
          <xdr:rowOff>95250</xdr:rowOff>
        </xdr:to>
        <xdr:sp macro="" textlink="">
          <xdr:nvSpPr>
            <xdr:cNvPr id="5133" name="Button 13" hidden="1">
              <a:extLst>
                <a:ext uri="{63B3BB69-23CF-44E3-9099-C40C66FF867C}">
                  <a14:compatExt spid="_x0000_s5133"/>
                </a:ext>
                <a:ext uri="{FF2B5EF4-FFF2-40B4-BE49-F238E27FC236}">
                  <a16:creationId xmlns:a16="http://schemas.microsoft.com/office/drawing/2014/main" id="{00000000-0008-0000-0000-00000D14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GB" sz="1000" b="1" i="0" u="none" strike="noStrike" baseline="0">
                  <a:solidFill>
                    <a:srgbClr val="000000"/>
                  </a:solidFill>
                  <a:latin typeface="Arial"/>
                  <a:cs typeface="Arial"/>
                </a:rPr>
                <a:t>Click to clear data in Section 2</a:t>
              </a:r>
            </a:p>
          </xdr:txBody>
        </xdr:sp>
        <xdr:clientData fPrintsWithSheet="0"/>
      </xdr:twoCellAnchor>
    </mc:Choice>
    <mc:Fallback/>
  </mc:AlternateContent>
  <xdr:twoCellAnchor editAs="oneCell">
    <xdr:from>
      <xdr:col>0</xdr:col>
      <xdr:colOff>176213</xdr:colOff>
      <xdr:row>0</xdr:row>
      <xdr:rowOff>101600</xdr:rowOff>
    </xdr:from>
    <xdr:to>
      <xdr:col>3</xdr:col>
      <xdr:colOff>344488</xdr:colOff>
      <xdr:row>2</xdr:row>
      <xdr:rowOff>91535</xdr:rowOff>
    </xdr:to>
    <xdr:pic>
      <xdr:nvPicPr>
        <xdr:cNvPr id="2" name="Picture 1">
          <a:extLst>
            <a:ext uri="{FF2B5EF4-FFF2-40B4-BE49-F238E27FC236}">
              <a16:creationId xmlns:a16="http://schemas.microsoft.com/office/drawing/2014/main" id="{FC0A06EA-EBE5-4EF8-8EE6-10AC12D5370E}"/>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24422" b="17114"/>
        <a:stretch>
          <a:fillRect/>
        </a:stretch>
      </xdr:blipFill>
      <xdr:spPr bwMode="auto">
        <a:xfrm>
          <a:off x="176213" y="101600"/>
          <a:ext cx="1706563" cy="50428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45720</xdr:colOff>
      <xdr:row>1</xdr:row>
      <xdr:rowOff>22860</xdr:rowOff>
    </xdr:from>
    <xdr:to>
      <xdr:col>13</xdr:col>
      <xdr:colOff>601980</xdr:colOff>
      <xdr:row>32</xdr:row>
      <xdr:rowOff>30480</xdr:rowOff>
    </xdr:to>
    <xdr:graphicFrame macro="">
      <xdr:nvGraphicFramePr>
        <xdr:cNvPr id="2074" name="Chart 2">
          <a:extLst>
            <a:ext uri="{FF2B5EF4-FFF2-40B4-BE49-F238E27FC236}">
              <a16:creationId xmlns:a16="http://schemas.microsoft.com/office/drawing/2014/main" id="{00000000-0008-0000-0100-00001A0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P45"/>
  <sheetViews>
    <sheetView showGridLines="0" tabSelected="1" topLeftCell="A27" zoomScaleNormal="100" workbookViewId="0">
      <selection activeCell="L24" sqref="L24"/>
    </sheetView>
  </sheetViews>
  <sheetFormatPr defaultRowHeight="12.5" x14ac:dyDescent="0.25"/>
  <cols>
    <col min="1" max="1" width="3" customWidth="1"/>
    <col min="3" max="3" width="10.26953125" customWidth="1"/>
    <col min="4" max="4" width="13.453125" customWidth="1"/>
    <col min="5" max="5" width="2.453125" customWidth="1"/>
    <col min="6" max="6" width="14.7265625" customWidth="1"/>
    <col min="7" max="7" width="6.1796875" customWidth="1"/>
    <col min="8" max="8" width="15" customWidth="1"/>
    <col min="9" max="9" width="2.26953125" customWidth="1"/>
    <col min="10" max="10" width="15.54296875" customWidth="1"/>
    <col min="11" max="11" width="3.54296875" customWidth="1"/>
    <col min="12" max="12" width="11.26953125" customWidth="1"/>
    <col min="13" max="13" width="1.453125" customWidth="1"/>
    <col min="14" max="14" width="13.453125" customWidth="1"/>
    <col min="15" max="15" width="9.1796875" hidden="1" customWidth="1"/>
  </cols>
  <sheetData>
    <row r="1" spans="2:16" ht="18" x14ac:dyDescent="0.4">
      <c r="F1" s="17" t="s">
        <v>83</v>
      </c>
    </row>
    <row r="2" spans="2:16" ht="22.5" customHeight="1" x14ac:dyDescent="0.25"/>
    <row r="3" spans="2:16" ht="36" customHeight="1" x14ac:dyDescent="0.25">
      <c r="B3" s="63" t="s">
        <v>77</v>
      </c>
      <c r="C3" s="64"/>
      <c r="D3" s="64"/>
      <c r="E3" s="64"/>
      <c r="F3" s="64"/>
      <c r="G3" s="64"/>
      <c r="H3" s="64"/>
      <c r="I3" s="64"/>
      <c r="J3" s="64"/>
      <c r="K3" s="64"/>
      <c r="L3" s="64"/>
      <c r="M3" s="64"/>
      <c r="N3" s="64"/>
    </row>
    <row r="4" spans="2:16" ht="16.5" customHeight="1" x14ac:dyDescent="0.35">
      <c r="B4" s="65" t="s">
        <v>79</v>
      </c>
      <c r="C4" s="66"/>
      <c r="D4" s="66"/>
      <c r="E4" s="67"/>
      <c r="F4" s="67"/>
      <c r="G4" s="26"/>
      <c r="H4" s="26"/>
      <c r="I4" s="26"/>
      <c r="J4" s="26"/>
      <c r="K4" s="26"/>
      <c r="L4" s="26"/>
      <c r="M4" s="26"/>
      <c r="N4" s="26"/>
      <c r="O4" s="27"/>
      <c r="P4" s="28"/>
    </row>
    <row r="5" spans="2:16" ht="6" customHeight="1" x14ac:dyDescent="0.35">
      <c r="B5" s="23"/>
      <c r="C5" s="24"/>
      <c r="D5" s="24"/>
      <c r="E5" s="5"/>
      <c r="F5" s="5"/>
      <c r="G5" s="5"/>
      <c r="H5" s="5"/>
      <c r="I5" s="5"/>
      <c r="J5" s="5"/>
      <c r="K5" s="5"/>
      <c r="L5" s="5"/>
      <c r="M5" s="5"/>
      <c r="N5" s="5"/>
    </row>
    <row r="6" spans="2:16" ht="13" x14ac:dyDescent="0.3">
      <c r="B6" s="1" t="s">
        <v>61</v>
      </c>
      <c r="F6" s="18"/>
      <c r="H6" t="s">
        <v>81</v>
      </c>
      <c r="J6" s="18"/>
    </row>
    <row r="7" spans="2:16" ht="6" customHeight="1" x14ac:dyDescent="0.25"/>
    <row r="8" spans="2:16" ht="13" x14ac:dyDescent="0.3">
      <c r="B8" s="1" t="s">
        <v>86</v>
      </c>
    </row>
    <row r="9" spans="2:16" ht="13" x14ac:dyDescent="0.3">
      <c r="B9" s="10" t="s">
        <v>87</v>
      </c>
    </row>
    <row r="10" spans="2:16" ht="13" x14ac:dyDescent="0.3">
      <c r="B10" s="10" t="s">
        <v>89</v>
      </c>
    </row>
    <row r="11" spans="2:16" s="1" customFormat="1" ht="16.5" customHeight="1" x14ac:dyDescent="0.3">
      <c r="D11" s="1" t="s">
        <v>11</v>
      </c>
      <c r="F11" s="9" t="s">
        <v>76</v>
      </c>
      <c r="H11" s="1" t="s">
        <v>35</v>
      </c>
      <c r="J11" s="9" t="s">
        <v>76</v>
      </c>
      <c r="K11" s="9"/>
    </row>
    <row r="12" spans="2:16" s="1" customFormat="1" ht="12" customHeight="1" x14ac:dyDescent="0.3">
      <c r="F12" s="1" t="s">
        <v>11</v>
      </c>
      <c r="J12" s="1" t="s">
        <v>35</v>
      </c>
      <c r="L12" s="39"/>
      <c r="M12" s="40"/>
      <c r="N12" s="30" t="s">
        <v>88</v>
      </c>
    </row>
    <row r="13" spans="2:16" ht="13" x14ac:dyDescent="0.3">
      <c r="B13" t="s">
        <v>60</v>
      </c>
      <c r="D13" s="48"/>
      <c r="E13" s="1" t="s">
        <v>108</v>
      </c>
      <c r="H13" s="49"/>
      <c r="I13" s="47" t="s">
        <v>108</v>
      </c>
      <c r="J13" s="19"/>
      <c r="L13" s="31"/>
      <c r="M13" s="32"/>
      <c r="N13" s="38" t="str">
        <f>IF(J6&lt;60,"(as reduced for early payment)","")</f>
        <v>(as reduced for early payment)</v>
      </c>
      <c r="O13" t="s">
        <v>11</v>
      </c>
    </row>
    <row r="14" spans="2:16" ht="13" x14ac:dyDescent="0.3">
      <c r="D14" s="48"/>
      <c r="E14" s="1" t="s">
        <v>109</v>
      </c>
      <c r="H14" s="49"/>
      <c r="I14" s="47" t="s">
        <v>109</v>
      </c>
      <c r="J14" s="19"/>
      <c r="L14" s="31"/>
      <c r="M14" s="32"/>
      <c r="N14" s="38"/>
    </row>
    <row r="15" spans="2:16" ht="13" x14ac:dyDescent="0.3">
      <c r="B15" t="s">
        <v>99</v>
      </c>
      <c r="D15" s="20"/>
      <c r="E15" s="21"/>
      <c r="F15" s="21"/>
      <c r="G15" s="21"/>
      <c r="H15" s="20"/>
      <c r="I15" s="21"/>
      <c r="J15" s="21"/>
      <c r="L15" s="33" t="s">
        <v>38</v>
      </c>
      <c r="M15" s="32"/>
      <c r="N15" s="36" t="e">
        <f>Workings!I10</f>
        <v>#N/A</v>
      </c>
      <c r="O15" t="s">
        <v>35</v>
      </c>
    </row>
    <row r="16" spans="2:16" ht="13" x14ac:dyDescent="0.3">
      <c r="B16" t="s">
        <v>38</v>
      </c>
      <c r="D16" s="20"/>
      <c r="E16" s="21"/>
      <c r="F16" s="20"/>
      <c r="G16" s="21"/>
      <c r="H16" s="20"/>
      <c r="I16" s="21"/>
      <c r="J16" s="20"/>
      <c r="L16" s="34" t="s">
        <v>27</v>
      </c>
      <c r="M16" s="35"/>
      <c r="N16" s="37" t="e">
        <f>Workings!I11</f>
        <v>#N/A</v>
      </c>
      <c r="O16" t="s">
        <v>62</v>
      </c>
    </row>
    <row r="17" spans="2:16" x14ac:dyDescent="0.25">
      <c r="B17" t="s">
        <v>31</v>
      </c>
      <c r="D17" s="20"/>
      <c r="E17" s="21"/>
      <c r="F17" s="20"/>
      <c r="G17" s="21"/>
      <c r="H17" s="21"/>
      <c r="I17" s="21"/>
      <c r="J17" s="21"/>
    </row>
    <row r="19" spans="2:16" ht="13" x14ac:dyDescent="0.3">
      <c r="B19" s="1" t="s">
        <v>63</v>
      </c>
      <c r="L19" s="20"/>
      <c r="N19" s="11" t="str">
        <f>IF(L19&gt;MAX(D15,H15),"Are you sure?",IF(L19="","You must enter this information",""))</f>
        <v>You must enter this information</v>
      </c>
    </row>
    <row r="20" spans="2:16" ht="27" customHeight="1" x14ac:dyDescent="0.3">
      <c r="C20" s="68" t="s">
        <v>100</v>
      </c>
      <c r="D20" s="64"/>
      <c r="E20" s="64"/>
      <c r="F20" s="64"/>
      <c r="G20" s="64"/>
      <c r="H20" s="64"/>
      <c r="I20" s="64"/>
      <c r="J20" s="64"/>
      <c r="K20" s="64"/>
      <c r="L20" s="64"/>
      <c r="M20" s="64"/>
      <c r="N20" s="64"/>
    </row>
    <row r="21" spans="2:16" ht="6" customHeight="1" x14ac:dyDescent="0.25"/>
    <row r="22" spans="2:16" ht="16.5" customHeight="1" x14ac:dyDescent="0.35">
      <c r="B22" s="29" t="s">
        <v>80</v>
      </c>
      <c r="C22" s="27"/>
      <c r="D22" s="27"/>
      <c r="E22" s="27"/>
      <c r="F22" s="27"/>
      <c r="G22" s="27"/>
      <c r="H22" s="27"/>
      <c r="I22" s="27"/>
      <c r="J22" s="27"/>
      <c r="K22" s="27"/>
      <c r="L22" s="27"/>
      <c r="M22" s="27"/>
      <c r="N22" s="27"/>
      <c r="O22" s="27"/>
      <c r="P22" s="28"/>
    </row>
    <row r="23" spans="2:16" ht="6" customHeight="1" x14ac:dyDescent="0.35">
      <c r="B23" s="25"/>
    </row>
    <row r="24" spans="2:16" ht="13" x14ac:dyDescent="0.3">
      <c r="B24" s="1" t="s">
        <v>65</v>
      </c>
      <c r="L24" s="20"/>
      <c r="N24" s="11" t="str">
        <f>IF(L24&gt;L19*0.8,"Are you sure that you are eligible?","")</f>
        <v/>
      </c>
      <c r="O24" t="s">
        <v>72</v>
      </c>
    </row>
    <row r="25" spans="2:16" ht="13" x14ac:dyDescent="0.3">
      <c r="C25" s="10" t="s">
        <v>64</v>
      </c>
      <c r="O25" t="s">
        <v>110</v>
      </c>
    </row>
    <row r="26" spans="2:16" ht="6" customHeight="1" x14ac:dyDescent="0.25">
      <c r="O26" t="s">
        <v>111</v>
      </c>
    </row>
    <row r="27" spans="2:16" ht="13" x14ac:dyDescent="0.3">
      <c r="B27" s="1" t="s">
        <v>66</v>
      </c>
      <c r="H27" s="18"/>
      <c r="O27" t="s">
        <v>112</v>
      </c>
    </row>
    <row r="28" spans="2:16" ht="13" x14ac:dyDescent="0.3">
      <c r="C28" s="10" t="s">
        <v>67</v>
      </c>
      <c r="O28" t="s">
        <v>113</v>
      </c>
    </row>
    <row r="29" spans="2:16" ht="6" customHeight="1" x14ac:dyDescent="0.3">
      <c r="C29" s="10"/>
    </row>
    <row r="30" spans="2:16" ht="13" x14ac:dyDescent="0.3">
      <c r="B30" s="1" t="s">
        <v>71</v>
      </c>
      <c r="C30" s="10"/>
      <c r="H30" s="61"/>
      <c r="I30" s="62"/>
    </row>
    <row r="31" spans="2:16" ht="12" customHeight="1" x14ac:dyDescent="0.25"/>
    <row r="32" spans="2:16" ht="12.75" customHeight="1" x14ac:dyDescent="0.3">
      <c r="C32" s="1" t="s">
        <v>69</v>
      </c>
      <c r="H32" s="18"/>
      <c r="J32" s="10" t="s">
        <v>106</v>
      </c>
    </row>
    <row r="33" spans="3:15" ht="6" customHeight="1" x14ac:dyDescent="0.25"/>
    <row r="34" spans="3:15" ht="13" x14ac:dyDescent="0.3">
      <c r="D34" t="str">
        <f>IF(H32="my choice","how much?"," ")</f>
        <v xml:space="preserve"> </v>
      </c>
      <c r="F34" s="20">
        <v>1002</v>
      </c>
      <c r="H34" s="11" t="e">
        <f>Workings!A36</f>
        <v>#N/A</v>
      </c>
      <c r="J34" s="11"/>
    </row>
    <row r="35" spans="3:15" ht="6" customHeight="1" x14ac:dyDescent="0.25">
      <c r="H35" s="2"/>
    </row>
    <row r="36" spans="3:15" ht="13" x14ac:dyDescent="0.3">
      <c r="C36" t="s">
        <v>68</v>
      </c>
      <c r="H36" s="41" t="e">
        <f>IF(H34=" ",Workings!G18,"")</f>
        <v>#N/A</v>
      </c>
      <c r="I36" s="10" t="str">
        <f>" (the standard amount)"</f>
        <v xml:space="preserve"> (the standard amount)</v>
      </c>
      <c r="L36" s="41" t="e">
        <f>IF(H34=" ",ROUNDDOWN(Workings!B19,0)," ")</f>
        <v>#N/A</v>
      </c>
      <c r="M36" s="10" t="str">
        <f>" (the maximum amount)"</f>
        <v xml:space="preserve"> (the maximum amount)</v>
      </c>
    </row>
    <row r="37" spans="3:15" ht="6" customHeight="1" x14ac:dyDescent="0.25">
      <c r="H37" s="2"/>
    </row>
    <row r="38" spans="3:15" ht="13" x14ac:dyDescent="0.3">
      <c r="C38" s="1" t="s">
        <v>70</v>
      </c>
      <c r="F38" s="20"/>
      <c r="H38" s="44"/>
      <c r="I38" s="45"/>
      <c r="J38" s="45"/>
      <c r="K38" s="22" t="s">
        <v>104</v>
      </c>
      <c r="L38" s="41" t="str">
        <f>IF(F38&gt;0,Workings!B21,"")</f>
        <v/>
      </c>
      <c r="N38" t="s">
        <v>73</v>
      </c>
    </row>
    <row r="39" spans="3:15" ht="6" customHeight="1" x14ac:dyDescent="0.25"/>
    <row r="40" spans="3:15" x14ac:dyDescent="0.25">
      <c r="D40" t="str">
        <f>IF(F38="my choice","how much?","")</f>
        <v/>
      </c>
      <c r="F40" s="43">
        <v>2295</v>
      </c>
      <c r="J40" s="2"/>
      <c r="O40" t="s">
        <v>101</v>
      </c>
    </row>
    <row r="41" spans="3:15" ht="27.75" customHeight="1" x14ac:dyDescent="0.25">
      <c r="G41" s="59" t="e">
        <f>IF(AND(F38="my choice",Workings!B20="ERROR"),"Lump sum is not in the range shown",IF(Workings!B14&gt;0,Workings!A62,""))</f>
        <v>#N/A</v>
      </c>
      <c r="H41" s="60"/>
      <c r="I41" s="60"/>
      <c r="J41" s="60"/>
      <c r="K41" s="60"/>
      <c r="L41" s="60"/>
      <c r="M41" s="60"/>
      <c r="N41" s="60"/>
      <c r="O41" t="s">
        <v>102</v>
      </c>
    </row>
    <row r="42" spans="3:15" ht="13" x14ac:dyDescent="0.3">
      <c r="C42" s="1" t="s">
        <v>74</v>
      </c>
      <c r="O42" t="s">
        <v>103</v>
      </c>
    </row>
    <row r="44" spans="3:15" x14ac:dyDescent="0.25">
      <c r="O44" t="s">
        <v>105</v>
      </c>
    </row>
    <row r="45" spans="3:15" x14ac:dyDescent="0.25">
      <c r="O45" t="s">
        <v>103</v>
      </c>
    </row>
  </sheetData>
  <sheetProtection algorithmName="SHA-512" hashValue="oa99aAjPWO+goKHDx68E1hL+vpAZjOwjxCcAGWbBjDOHIJ8BC3K4+iJZqOwoctiws85Wj4BtNaJD8guLt16FWQ==" saltValue="WdlFki+4xEaJqsaMmPeYNg==" spinCount="100000" sheet="1" objects="1" scenarios="1" selectLockedCells="1"/>
  <mergeCells count="5">
    <mergeCell ref="G41:N41"/>
    <mergeCell ref="H30:I30"/>
    <mergeCell ref="B3:N3"/>
    <mergeCell ref="B4:F4"/>
    <mergeCell ref="C20:N20"/>
  </mergeCells>
  <phoneticPr fontId="2" type="noConversion"/>
  <conditionalFormatting sqref="D11:F17">
    <cfRule type="expression" dxfId="8" priority="1" stopIfTrue="1">
      <formula>$F$6="premium"</formula>
    </cfRule>
  </conditionalFormatting>
  <conditionalFormatting sqref="F11:F17">
    <cfRule type="expression" dxfId="7" priority="4" stopIfTrue="1">
      <formula>$F$6="classic plus"</formula>
    </cfRule>
  </conditionalFormatting>
  <conditionalFormatting sqref="F34">
    <cfRule type="expression" dxfId="6" priority="7" stopIfTrue="1">
      <formula>$H$32="my choice"</formula>
    </cfRule>
    <cfRule type="expression" dxfId="5" priority="8" stopIfTrue="1">
      <formula>$H$32&lt;&gt;"my choice"</formula>
    </cfRule>
  </conditionalFormatting>
  <conditionalFormatting sqref="F40">
    <cfRule type="expression" dxfId="4" priority="5" stopIfTrue="1">
      <formula>$F$38="my choice"</formula>
    </cfRule>
    <cfRule type="expression" dxfId="3" priority="6" stopIfTrue="1">
      <formula>$F$38&lt;&gt;"my choice"</formula>
    </cfRule>
  </conditionalFormatting>
  <conditionalFormatting sqref="H11:J16">
    <cfRule type="expression" dxfId="2" priority="2" stopIfTrue="1">
      <formula>$F$6="classic"</formula>
    </cfRule>
  </conditionalFormatting>
  <dataValidations count="11">
    <dataValidation type="decimal" allowBlank="1" showInputMessage="1" showErrorMessage="1" error="You cannot work more than full time!" promptTitle="Working pattern" sqref="K27 H27" xr:uid="{00000000-0002-0000-0000-000000000000}">
      <formula1>0</formula1>
      <formula2>1</formula2>
    </dataValidation>
    <dataValidation type="list" allowBlank="1" showInputMessage="1" showErrorMessage="1" sqref="F6" xr:uid="{00000000-0002-0000-0000-000001000000}">
      <formula1>$O$13:$O$16</formula1>
    </dataValidation>
    <dataValidation type="list" allowBlank="1" showInputMessage="1" showErrorMessage="1" sqref="H30" xr:uid="{00000000-0002-0000-0000-000002000000}">
      <formula1>$O$24:$O$28</formula1>
    </dataValidation>
    <dataValidation type="whole" errorStyle="warning" allowBlank="1" showInputMessage="1" showErrorMessage="1" errorTitle="Age" error="Please enter your age as a whole number._x000a__x000a_You can only opt for partial retirement if you are eligible to draw your pension." sqref="J6" xr:uid="{00000000-0002-0000-0000-000003000000}">
      <formula1>50</formula1>
      <formula2>75</formula2>
    </dataValidation>
    <dataValidation type="decimal" errorStyle="warning" allowBlank="1" showInputMessage="1" showErrorMessage="1" errorTitle="Last 12 months' pensionable pay" error="You must enter a valid amount here" sqref="L19" xr:uid="{00000000-0002-0000-0000-000004000000}">
      <formula1>1000</formula1>
      <formula2>MAX(D15,H15)+1000</formula2>
    </dataValidation>
    <dataValidation type="list" allowBlank="1" showInputMessage="1" showErrorMessage="1" prompt="Choose &quot;my choice&quot; to enter your own lump sum (you will get another input box)" sqref="F38" xr:uid="{00000000-0002-0000-0000-000005000000}">
      <formula1>$O$40:$O$42</formula1>
    </dataValidation>
    <dataValidation type="list" allowBlank="1" showInputMessage="1" showErrorMessage="1" prompt="Choose &quot;my choice&quot; to enter your own pension amount - you will get another input box.  You cannot draw added pension now unless you take your all your pension benefits." sqref="H32" xr:uid="{00000000-0002-0000-0000-000006000000}">
      <formula1>$O$44:$O$45</formula1>
    </dataValidation>
    <dataValidation type="whole" allowBlank="1" showInputMessage="1" showErrorMessage="1" errorTitle="Reckonable service days" error="You must enter a whole number" promptTitle="Reckonable service days" prompt="Please enter a whole number" sqref="D14" xr:uid="{00000000-0002-0000-0000-000007000000}">
      <formula1>0</formula1>
      <formula2>365</formula2>
    </dataValidation>
    <dataValidation type="whole" allowBlank="1" showInputMessage="1" showErrorMessage="1" errorTitle="Reckonable Service days" error="You must enter a whole number" promptTitle="Reckonable Service days" prompt="Please enter a whole number" sqref="H14" xr:uid="{00000000-0002-0000-0000-000008000000}">
      <formula1>0</formula1>
      <formula2>365</formula2>
    </dataValidation>
    <dataValidation type="whole" allowBlank="1" showInputMessage="1" showErrorMessage="1" errorTitle="Reckonable service years" error="You must enter a whole number" promptTitle="Reckonable service - years" sqref="D13" xr:uid="{00000000-0002-0000-0000-000009000000}">
      <formula1>0</formula1>
      <formula2>45</formula2>
    </dataValidation>
    <dataValidation type="whole" allowBlank="1" showInputMessage="1" showErrorMessage="1" errorTitle="Reckonable service years" error="You must enter a whole number" promptTitle="Reckonable Service years" prompt="Please enter a whole number" sqref="H13" xr:uid="{00000000-0002-0000-0000-00000A000000}">
      <formula1>0</formula1>
      <formula2>45</formula2>
    </dataValidation>
  </dataValidations>
  <pageMargins left="0.75" right="0.75" top="1" bottom="1" header="0.5" footer="0.5"/>
  <pageSetup paperSize="9" orientation="portrait" r:id="rId1"/>
  <headerFooter alignWithMargins="0">
    <oddFooter>&amp;L_x000D_&amp;1#&amp;"Arial"&amp;10&amp;K000000 Capita – Confidential INTERNAL</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5133" r:id="rId4" name="Button 13">
              <controlPr defaultSize="0" print="0" autoFill="0" autoPict="0" macro="[0]!clear_partial_retirement_section2">
                <anchor moveWithCells="1" sizeWithCells="1">
                  <from>
                    <xdr:col>13</xdr:col>
                    <xdr:colOff>19050</xdr:colOff>
                    <xdr:row>28</xdr:row>
                    <xdr:rowOff>31750</xdr:rowOff>
                  </from>
                  <to>
                    <xdr:col>16</xdr:col>
                    <xdr:colOff>508000</xdr:colOff>
                    <xdr:row>30</xdr:row>
                    <xdr:rowOff>95250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O50"/>
  <sheetViews>
    <sheetView showGridLines="0" showRowColHeaders="0" zoomScale="120" zoomScaleNormal="120" workbookViewId="0">
      <selection activeCell="P31" sqref="P31"/>
    </sheetView>
  </sheetViews>
  <sheetFormatPr defaultRowHeight="12.5" x14ac:dyDescent="0.25"/>
  <cols>
    <col min="1" max="1" width="4.453125" customWidth="1"/>
  </cols>
  <sheetData>
    <row r="1" ht="32.25" customHeight="1" x14ac:dyDescent="0.25"/>
    <row r="34" spans="1:15" ht="13" x14ac:dyDescent="0.3">
      <c r="A34" s="1" t="s">
        <v>57</v>
      </c>
    </row>
    <row r="35" spans="1:15" ht="13" x14ac:dyDescent="0.3">
      <c r="A35" s="1" t="s">
        <v>58</v>
      </c>
    </row>
    <row r="36" spans="1:15" ht="6" customHeight="1" x14ac:dyDescent="0.3">
      <c r="A36" s="1"/>
    </row>
    <row r="37" spans="1:15" ht="41.25" customHeight="1" x14ac:dyDescent="0.25">
      <c r="A37" s="42">
        <v>1</v>
      </c>
      <c r="B37" s="60" t="s">
        <v>75</v>
      </c>
      <c r="C37" s="60"/>
      <c r="D37" s="60"/>
      <c r="E37" s="60"/>
      <c r="F37" s="60"/>
      <c r="G37" s="60"/>
      <c r="H37" s="60"/>
      <c r="I37" s="60"/>
      <c r="J37" s="60"/>
      <c r="K37" s="60"/>
      <c r="L37" s="60"/>
      <c r="M37" s="60"/>
      <c r="N37" s="60"/>
      <c r="O37" s="60"/>
    </row>
    <row r="38" spans="1:15" ht="29.25" customHeight="1" x14ac:dyDescent="0.25">
      <c r="A38" s="42">
        <v>2</v>
      </c>
      <c r="B38" s="60" t="e">
        <f>Workings!A50&amp;Workings!A51&amp;Workings!A52</f>
        <v>#N/A</v>
      </c>
      <c r="C38" s="60"/>
      <c r="D38" s="60"/>
      <c r="E38" s="60"/>
      <c r="F38" s="60"/>
      <c r="G38" s="60"/>
      <c r="H38" s="60"/>
      <c r="I38" s="60"/>
      <c r="J38" s="60"/>
      <c r="K38" s="60"/>
      <c r="L38" s="60"/>
      <c r="M38" s="60"/>
      <c r="N38" s="60"/>
      <c r="O38" s="60"/>
    </row>
    <row r="39" spans="1:15" ht="32.25" customHeight="1" x14ac:dyDescent="0.25">
      <c r="A39" s="42">
        <v>3</v>
      </c>
      <c r="B39" s="60" t="str">
        <f>Workings!A59</f>
        <v>Your pension in payment - and any Added Pension you have - will increase every year with the Consumer Price Index.  For the purposes of the projections, we have assumed CPI of 3.00%</v>
      </c>
      <c r="C39" s="60"/>
      <c r="D39" s="60"/>
      <c r="E39" s="60"/>
      <c r="F39" s="60"/>
      <c r="G39" s="60"/>
      <c r="H39" s="60"/>
      <c r="I39" s="60"/>
      <c r="J39" s="60"/>
      <c r="K39" s="60"/>
      <c r="L39" s="60"/>
      <c r="M39" s="60"/>
      <c r="N39" s="60"/>
      <c r="O39" s="60"/>
    </row>
    <row r="40" spans="1:15" ht="28.5" customHeight="1" x14ac:dyDescent="0.25">
      <c r="A40" s="42">
        <v>4</v>
      </c>
      <c r="B40" s="60" t="str">
        <f>Workings!A53</f>
        <v>Your pension entitlement is based on 0.0 years service, and your partial retirement leaves you with approximately 0.0 years.</v>
      </c>
      <c r="C40" s="60"/>
      <c r="D40" s="60"/>
      <c r="E40" s="60"/>
      <c r="F40" s="60"/>
      <c r="G40" s="60"/>
      <c r="H40" s="60"/>
      <c r="I40" s="60"/>
      <c r="J40" s="60"/>
      <c r="K40" s="60"/>
      <c r="L40" s="60"/>
      <c r="M40" s="60"/>
      <c r="N40" s="60"/>
      <c r="O40" s="60"/>
    </row>
    <row r="41" spans="1:15" ht="20.25" customHeight="1" x14ac:dyDescent="0.25">
      <c r="A41" s="42">
        <v>5</v>
      </c>
      <c r="B41" s="42" t="str">
        <f>Workings!A55</f>
        <v>The first section of the chart shows your current earnings (last 12 months) and the lump sum you have chosen to take now.</v>
      </c>
      <c r="C41" s="42"/>
      <c r="D41" s="42"/>
      <c r="E41" s="42"/>
      <c r="F41" s="42"/>
      <c r="G41" s="42"/>
      <c r="H41" s="42"/>
      <c r="I41" s="42"/>
      <c r="J41" s="42"/>
      <c r="K41" s="42"/>
      <c r="L41" s="42"/>
      <c r="M41" s="42"/>
      <c r="N41" s="42"/>
      <c r="O41" s="42"/>
    </row>
    <row r="42" spans="1:15" ht="21" customHeight="1" x14ac:dyDescent="0.25">
      <c r="A42" s="42">
        <v>6</v>
      </c>
      <c r="B42" s="42" t="str">
        <f>Workings!A56</f>
        <v xml:space="preserve">The yellow columns show your projected combined income (earnings plus pension less any abatement) for the next few years.  </v>
      </c>
      <c r="C42" s="42"/>
      <c r="D42" s="42"/>
      <c r="E42" s="42"/>
      <c r="F42" s="42"/>
      <c r="G42" s="42"/>
      <c r="H42" s="42"/>
      <c r="I42" s="42"/>
      <c r="J42" s="42"/>
      <c r="K42" s="42"/>
      <c r="L42" s="42"/>
      <c r="M42" s="42"/>
      <c r="N42" s="42"/>
      <c r="O42" s="42"/>
    </row>
    <row r="43" spans="1:15" ht="40.5" customHeight="1" x14ac:dyDescent="0.25">
      <c r="A43" s="42">
        <v>7</v>
      </c>
      <c r="B43" s="60" t="e">
        <f>Workings!A54</f>
        <v>#N/A</v>
      </c>
      <c r="C43" s="60"/>
      <c r="D43" s="60"/>
      <c r="E43" s="60"/>
      <c r="F43" s="60"/>
      <c r="G43" s="60"/>
      <c r="H43" s="60"/>
      <c r="I43" s="60"/>
      <c r="J43" s="60"/>
      <c r="K43" s="60"/>
      <c r="L43" s="60"/>
      <c r="M43" s="60"/>
      <c r="N43" s="60"/>
      <c r="O43" s="60"/>
    </row>
    <row r="44" spans="1:15" ht="21" customHeight="1" x14ac:dyDescent="0.25">
      <c r="A44" s="42">
        <v>8</v>
      </c>
      <c r="B44" s="42" t="str">
        <f>Workings!A57</f>
        <v xml:space="preserve"> The red line gives a projection of the pension you would get on final retirement (including the partial pension you have already drawn).</v>
      </c>
      <c r="C44" s="42"/>
      <c r="D44" s="42"/>
      <c r="E44" s="42"/>
      <c r="F44" s="42"/>
      <c r="G44" s="42"/>
      <c r="H44" s="42"/>
      <c r="I44" s="42"/>
      <c r="J44" s="42"/>
      <c r="K44" s="42"/>
      <c r="L44" s="42"/>
      <c r="M44" s="42"/>
      <c r="N44" s="42"/>
      <c r="O44" s="42"/>
    </row>
    <row r="45" spans="1:15" ht="21" customHeight="1" x14ac:dyDescent="0.25">
      <c r="A45" s="42">
        <v>9</v>
      </c>
      <c r="B45" s="42" t="e">
        <f>Workings!A60</f>
        <v>#N/A</v>
      </c>
      <c r="C45" s="42"/>
      <c r="D45" s="42"/>
      <c r="E45" s="42"/>
      <c r="F45" s="42"/>
      <c r="G45" s="42"/>
      <c r="H45" s="42"/>
      <c r="I45" s="42"/>
      <c r="J45" s="42"/>
      <c r="K45" s="42"/>
      <c r="L45" s="42"/>
      <c r="M45" s="42"/>
      <c r="N45" s="42"/>
      <c r="O45" s="42"/>
    </row>
    <row r="46" spans="1:15" ht="29.25" customHeight="1" x14ac:dyDescent="0.25">
      <c r="A46" s="42">
        <v>10</v>
      </c>
      <c r="B46" s="60" t="str">
        <f>Workings!A58</f>
        <v>The green columns give a projection of the lump sum you are building up; we have assumed that you will commute pension to lump sum in the same proportion as you have chosen to do now..</v>
      </c>
      <c r="C46" s="60"/>
      <c r="D46" s="60"/>
      <c r="E46" s="60"/>
      <c r="F46" s="60"/>
      <c r="G46" s="60"/>
      <c r="H46" s="60"/>
      <c r="I46" s="60"/>
      <c r="J46" s="60"/>
      <c r="K46" s="60"/>
      <c r="L46" s="60"/>
      <c r="M46" s="60"/>
      <c r="N46" s="60"/>
      <c r="O46" s="60"/>
    </row>
    <row r="47" spans="1:15" ht="42" customHeight="1" x14ac:dyDescent="0.25">
      <c r="A47" s="42">
        <v>11</v>
      </c>
      <c r="B47" s="60" t="str">
        <f>Workings!A61</f>
        <v>Your final pension will reflect the pay definition in your pension scheme.  Depending on your circumstances this may mean that your pension is based on an earlier period of service rather than your last 12 months.  The model attempts to take this into account but you need to make sure that you understand how this particular aspect of your pension scheme works for you.</v>
      </c>
      <c r="C47" s="60"/>
      <c r="D47" s="60"/>
      <c r="E47" s="60"/>
      <c r="F47" s="60"/>
      <c r="G47" s="60"/>
      <c r="H47" s="60"/>
      <c r="I47" s="60"/>
      <c r="J47" s="60"/>
      <c r="K47" s="60"/>
      <c r="L47" s="60"/>
      <c r="M47" s="60"/>
      <c r="N47" s="60"/>
      <c r="O47" s="60"/>
    </row>
    <row r="48" spans="1:15" ht="30.75" customHeight="1" x14ac:dyDescent="0.25">
      <c r="A48" s="42">
        <v>12</v>
      </c>
      <c r="B48" s="60" t="s">
        <v>98</v>
      </c>
      <c r="C48" s="60"/>
      <c r="D48" s="60"/>
      <c r="E48" s="60"/>
      <c r="F48" s="60"/>
      <c r="G48" s="60"/>
      <c r="H48" s="60"/>
      <c r="I48" s="60"/>
      <c r="J48" s="60"/>
      <c r="K48" s="60"/>
      <c r="L48" s="60"/>
      <c r="M48" s="60"/>
      <c r="N48" s="60"/>
      <c r="O48" s="60"/>
    </row>
    <row r="49" spans="1:15" ht="17.25" customHeight="1" x14ac:dyDescent="0.25">
      <c r="A49" s="42">
        <v>13</v>
      </c>
      <c r="B49" s="60" t="s">
        <v>59</v>
      </c>
      <c r="C49" s="60"/>
      <c r="D49" s="60"/>
      <c r="E49" s="60"/>
      <c r="F49" s="60"/>
      <c r="G49" s="60"/>
      <c r="H49" s="60"/>
      <c r="I49" s="60"/>
      <c r="J49" s="60"/>
      <c r="K49" s="60"/>
      <c r="L49" s="60"/>
      <c r="M49" s="60"/>
      <c r="N49" s="60"/>
      <c r="O49" s="60"/>
    </row>
    <row r="50" spans="1:15" ht="26.25" customHeight="1" x14ac:dyDescent="0.25">
      <c r="A50" t="str">
        <f ca="1">"Printed on "&amp;TEXT(TODAY(),"dd mmm yyyy")</f>
        <v>Printed on 25 Nov 2025</v>
      </c>
    </row>
  </sheetData>
  <sheetProtection algorithmName="SHA-512" hashValue="P+5wCrL/2B++dZiotibn+Kwt2LT3Fe1/mCQx4H0vz/izHXkpIlVtOFasLGWwdRO5fqJQ/oZzWQkrAMDFP0zdzA==" saltValue="zn2OpP8kL/E38i5ExlW1Hw==" spinCount="100000" sheet="1" objects="1" scenarios="1" selectLockedCells="1" selectUnlockedCells="1"/>
  <mergeCells count="9">
    <mergeCell ref="B49:O49"/>
    <mergeCell ref="B48:O48"/>
    <mergeCell ref="B47:O47"/>
    <mergeCell ref="B46:O46"/>
    <mergeCell ref="B37:O37"/>
    <mergeCell ref="B38:O38"/>
    <mergeCell ref="B39:O39"/>
    <mergeCell ref="B43:O43"/>
    <mergeCell ref="B40:O40"/>
  </mergeCells>
  <phoneticPr fontId="2" type="noConversion"/>
  <pageMargins left="0.75" right="0.75" top="1" bottom="1" header="0.5" footer="0.5"/>
  <pageSetup paperSize="9" orientation="landscape" r:id="rId1"/>
  <headerFooter alignWithMargins="0">
    <oddFooter>&amp;L_x000D_&amp;1#&amp;"Arial"&amp;10&amp;K000000 Capita – Confidential INTERNAL</oddFooter>
  </headerFooter>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W76"/>
  <sheetViews>
    <sheetView zoomScale="85" zoomScaleNormal="85" workbookViewId="0">
      <selection activeCell="P31" sqref="P31"/>
    </sheetView>
  </sheetViews>
  <sheetFormatPr defaultRowHeight="12.5" x14ac:dyDescent="0.25"/>
  <cols>
    <col min="1" max="1" width="30.81640625" customWidth="1"/>
    <col min="2" max="2" width="18.453125" customWidth="1"/>
    <col min="3" max="3" width="12" customWidth="1"/>
    <col min="4" max="4" width="13" customWidth="1"/>
    <col min="5" max="5" width="18.26953125" customWidth="1"/>
    <col min="6" max="6" width="13" customWidth="1"/>
    <col min="12" max="12" width="12.26953125" customWidth="1"/>
    <col min="14" max="15" width="11" customWidth="1"/>
    <col min="17" max="18" width="11.81640625" customWidth="1"/>
  </cols>
  <sheetData>
    <row r="1" spans="1:10" ht="13" x14ac:dyDescent="0.3">
      <c r="A1" s="1" t="s">
        <v>0</v>
      </c>
    </row>
    <row r="2" spans="1:10" ht="26.25" customHeight="1" x14ac:dyDescent="0.25">
      <c r="A2" t="s">
        <v>2</v>
      </c>
      <c r="B2" s="7">
        <f>'Enter your details here'!F6</f>
        <v>0</v>
      </c>
    </row>
    <row r="3" spans="1:10" ht="15" customHeight="1" x14ac:dyDescent="0.25">
      <c r="A3" t="s">
        <v>82</v>
      </c>
      <c r="B3" s="7">
        <f>'Enter your details here'!J6</f>
        <v>0</v>
      </c>
      <c r="C3" t="e">
        <f>VLOOKUP(B3,A66:C76,2)</f>
        <v>#N/A</v>
      </c>
      <c r="D3" t="e">
        <f>VLOOKUP(B3,A66:C76,3)</f>
        <v>#N/A</v>
      </c>
      <c r="E3" t="e">
        <f>IF(C3&lt;1,"*","")</f>
        <v>#N/A</v>
      </c>
    </row>
    <row r="4" spans="1:10" x14ac:dyDescent="0.25">
      <c r="A4" t="s">
        <v>1</v>
      </c>
      <c r="B4" s="8">
        <f>'Enter your details here'!L19</f>
        <v>0</v>
      </c>
      <c r="C4" s="2" t="s">
        <v>51</v>
      </c>
    </row>
    <row r="5" spans="1:10" x14ac:dyDescent="0.25">
      <c r="A5" t="s">
        <v>3</v>
      </c>
      <c r="B5" s="8">
        <f>'Enter your details here'!L24</f>
        <v>0</v>
      </c>
      <c r="C5" s="2" t="s">
        <v>52</v>
      </c>
    </row>
    <row r="6" spans="1:10" x14ac:dyDescent="0.25">
      <c r="A6" t="s">
        <v>7</v>
      </c>
      <c r="B6" s="8">
        <f>'Enter your details here'!H27</f>
        <v>0</v>
      </c>
      <c r="C6" s="2"/>
    </row>
    <row r="7" spans="1:10" x14ac:dyDescent="0.25">
      <c r="A7" t="s">
        <v>56</v>
      </c>
      <c r="B7" s="8">
        <f>MAX('Enter your details here'!D15,'Enter your details here'!H15)</f>
        <v>0</v>
      </c>
      <c r="C7" t="s">
        <v>15</v>
      </c>
    </row>
    <row r="8" spans="1:10" ht="21" customHeight="1" x14ac:dyDescent="0.3">
      <c r="A8" t="s">
        <v>34</v>
      </c>
      <c r="C8" s="6" t="s">
        <v>11</v>
      </c>
      <c r="D8" s="6" t="s">
        <v>35</v>
      </c>
      <c r="E8" s="1" t="s">
        <v>36</v>
      </c>
      <c r="F8" s="1" t="s">
        <v>37</v>
      </c>
      <c r="G8" s="1" t="s">
        <v>39</v>
      </c>
      <c r="H8" s="1" t="s">
        <v>90</v>
      </c>
      <c r="J8" s="1" t="s">
        <v>107</v>
      </c>
    </row>
    <row r="9" spans="1:10" x14ac:dyDescent="0.25">
      <c r="A9" t="s">
        <v>6</v>
      </c>
      <c r="B9" s="2"/>
      <c r="C9" s="8">
        <f>'Enter your details here'!D13+ROUND('Enter your details here'!D14/365,4)</f>
        <v>0</v>
      </c>
      <c r="D9" s="8">
        <f>'Enter your details here'!H13+ROUND('Enter your details here'!H14/365,4)</f>
        <v>0</v>
      </c>
      <c r="E9" s="2"/>
      <c r="F9" s="2"/>
      <c r="G9" s="2">
        <f>D9+C9</f>
        <v>0</v>
      </c>
      <c r="H9" s="2"/>
    </row>
    <row r="10" spans="1:10" x14ac:dyDescent="0.25">
      <c r="A10" t="s">
        <v>38</v>
      </c>
      <c r="B10" s="2">
        <f>G10</f>
        <v>0</v>
      </c>
      <c r="C10" s="8">
        <f>'Enter your details here'!D16</f>
        <v>0</v>
      </c>
      <c r="D10" s="8">
        <f>'Enter your details here'!H16</f>
        <v>0</v>
      </c>
      <c r="E10" s="8">
        <f>'Enter your details here'!F16</f>
        <v>0</v>
      </c>
      <c r="F10" s="8">
        <f>'Enter your details here'!J16</f>
        <v>0</v>
      </c>
      <c r="G10" s="2">
        <f>SUM(C10:F10)</f>
        <v>0</v>
      </c>
      <c r="H10" s="2" t="e">
        <f>G10*C3</f>
        <v>#N/A</v>
      </c>
      <c r="I10" s="2" t="e">
        <f>ROUNDDOWN(H10,0)</f>
        <v>#N/A</v>
      </c>
      <c r="J10" s="2" t="e">
        <f>(C10+D10)*C3</f>
        <v>#N/A</v>
      </c>
    </row>
    <row r="11" spans="1:10" x14ac:dyDescent="0.25">
      <c r="A11" t="s">
        <v>27</v>
      </c>
      <c r="B11" s="2">
        <f>G11</f>
        <v>0</v>
      </c>
      <c r="C11" s="8">
        <f>'Enter your details here'!D17</f>
        <v>0</v>
      </c>
      <c r="D11" s="2"/>
      <c r="E11" s="8">
        <f>'Enter your details here'!F17</f>
        <v>0</v>
      </c>
      <c r="F11" s="2"/>
      <c r="G11" s="2">
        <f>SUM(C11:F11)</f>
        <v>0</v>
      </c>
      <c r="H11" s="2" t="e">
        <f>G11*D3</f>
        <v>#N/A</v>
      </c>
      <c r="I11" s="2" t="e">
        <f>ROUNDDOWN(H11,0)</f>
        <v>#N/A</v>
      </c>
    </row>
    <row r="12" spans="1:10" x14ac:dyDescent="0.25">
      <c r="A12" t="s">
        <v>91</v>
      </c>
      <c r="B12" s="2" t="e">
        <f>G12</f>
        <v>#N/A</v>
      </c>
      <c r="C12" s="2" t="e">
        <f>C10*C3*33/14</f>
        <v>#N/A</v>
      </c>
      <c r="D12" s="2" t="e">
        <f>D10*C3*30/7</f>
        <v>#N/A</v>
      </c>
      <c r="E12" s="2" t="e">
        <f>E10*33/14*C3</f>
        <v>#N/A</v>
      </c>
      <c r="F12" s="2" t="e">
        <f>F10*30/7*C3</f>
        <v>#N/A</v>
      </c>
      <c r="G12" s="2" t="e">
        <f>SUM(C12:F12)</f>
        <v>#N/A</v>
      </c>
      <c r="H12" s="2"/>
    </row>
    <row r="13" spans="1:10" x14ac:dyDescent="0.25">
      <c r="B13" s="2">
        <f>'Enter your details here'!H32</f>
        <v>0</v>
      </c>
      <c r="C13" s="2"/>
      <c r="D13" s="2"/>
      <c r="E13" s="2"/>
      <c r="F13" s="2"/>
      <c r="G13" s="2"/>
      <c r="H13" s="2"/>
    </row>
    <row r="14" spans="1:10" x14ac:dyDescent="0.25">
      <c r="A14" t="s">
        <v>78</v>
      </c>
      <c r="B14" s="8">
        <f>IF('Enter your details here'!H32="all pension",H10,'Enter your details here'!F34)</f>
        <v>1002</v>
      </c>
      <c r="C14" s="2" t="e">
        <f>IF(AND(B14&lt;H10,B14&gt;J10),"AP",IF(B14&gt;H10,"high"," "))</f>
        <v>#N/A</v>
      </c>
      <c r="G14" s="2" t="e">
        <f t="shared" ref="G14:G22" si="0">SUM(C14:F14)</f>
        <v>#N/A</v>
      </c>
      <c r="H14" s="2"/>
    </row>
    <row r="15" spans="1:10" x14ac:dyDescent="0.25">
      <c r="A15" t="s">
        <v>9</v>
      </c>
      <c r="B15" s="2">
        <f>IF(B14&lt;=B10,B14,0)</f>
        <v>0</v>
      </c>
      <c r="C15" s="2" t="e">
        <f>C16*C3</f>
        <v>#N/A</v>
      </c>
      <c r="D15" s="2" t="e">
        <f>D16*C3</f>
        <v>#N/A</v>
      </c>
      <c r="E15" s="2">
        <f>IF(B13="all pension",E10,0)</f>
        <v>0</v>
      </c>
      <c r="F15" s="2">
        <f>IF(B13="all pension",F10,0)</f>
        <v>0</v>
      </c>
      <c r="G15" s="2" t="e">
        <f t="shared" si="0"/>
        <v>#N/A</v>
      </c>
      <c r="H15" s="2"/>
    </row>
    <row r="16" spans="1:10" x14ac:dyDescent="0.25">
      <c r="A16" t="s">
        <v>92</v>
      </c>
      <c r="B16" s="2"/>
      <c r="C16" s="2" t="e">
        <f>IF(B13="all pension",C10,C10*(B14/J10))</f>
        <v>#N/A</v>
      </c>
      <c r="D16" s="2" t="e">
        <f>IF(B13="all pension",D10,D10*(B14/J10))</f>
        <v>#N/A</v>
      </c>
      <c r="E16" s="2">
        <f>IF(B13="all pension",E10,0)</f>
        <v>0</v>
      </c>
      <c r="F16" s="2">
        <f>IF(B13="all pension",F10,0)</f>
        <v>0</v>
      </c>
      <c r="G16" s="2" t="e">
        <f t="shared" si="0"/>
        <v>#N/A</v>
      </c>
      <c r="H16" s="2"/>
    </row>
    <row r="17" spans="1:8" x14ac:dyDescent="0.25">
      <c r="A17" t="s">
        <v>40</v>
      </c>
      <c r="B17" s="46">
        <f>SUM(C17:D17)</f>
        <v>0</v>
      </c>
      <c r="C17" s="46">
        <f>IF(C9&gt;0,C9*C16/C10,0)</f>
        <v>0</v>
      </c>
      <c r="D17" s="46">
        <f>IF(D9&gt;0,D9*D16/D10,0)</f>
        <v>0</v>
      </c>
      <c r="E17" s="2"/>
      <c r="F17" s="2"/>
      <c r="G17" s="2">
        <f t="shared" si="0"/>
        <v>0</v>
      </c>
      <c r="H17" s="2"/>
    </row>
    <row r="18" spans="1:8" x14ac:dyDescent="0.25">
      <c r="A18" t="s">
        <v>97</v>
      </c>
      <c r="B18" s="2" t="e">
        <f>SUM(C18:E18)</f>
        <v>#N/A</v>
      </c>
      <c r="C18" s="2" t="e">
        <f>C16*3*D3</f>
        <v>#N/A</v>
      </c>
      <c r="D18" s="2"/>
      <c r="E18" s="2" t="e">
        <f>E16*3*D3</f>
        <v>#N/A</v>
      </c>
      <c r="G18" s="2" t="e">
        <f>SUM(C18:E18)</f>
        <v>#N/A</v>
      </c>
      <c r="H18" s="2" t="e">
        <f>F10*C3</f>
        <v>#N/A</v>
      </c>
    </row>
    <row r="19" spans="1:8" x14ac:dyDescent="0.25">
      <c r="A19" t="s">
        <v>29</v>
      </c>
      <c r="B19" s="2" t="e">
        <f>SUM(C19:F19)+B18</f>
        <v>#N/A</v>
      </c>
      <c r="C19" s="2" t="e">
        <f>(C18/3*33/14)-(C18/3-C15)*30/7</f>
        <v>#N/A</v>
      </c>
      <c r="D19" s="2" t="e">
        <f>D15*30/7</f>
        <v>#N/A</v>
      </c>
      <c r="E19" s="2" t="e">
        <f>(E18*33/14)-(E18/3-E15)*30/7</f>
        <v>#N/A</v>
      </c>
      <c r="F19" s="2" t="e">
        <f>H18*30/7</f>
        <v>#N/A</v>
      </c>
      <c r="G19" s="2" t="e">
        <f t="shared" si="0"/>
        <v>#N/A</v>
      </c>
      <c r="H19" s="2"/>
    </row>
    <row r="20" spans="1:8" x14ac:dyDescent="0.25">
      <c r="A20" t="s">
        <v>30</v>
      </c>
      <c r="B20" s="8" t="e">
        <f>IF(OR(C20&gt;B19,C20&lt;B18),"ERROR",C20)</f>
        <v>#N/A</v>
      </c>
      <c r="C20" s="8">
        <f>IF(D20="standard",B18,IF(D20="maximum",B19,'Enter your details here'!F40))</f>
        <v>2295</v>
      </c>
      <c r="D20" s="8">
        <f>'Enter your details here'!F38</f>
        <v>0</v>
      </c>
      <c r="G20" s="2"/>
      <c r="H20" s="2"/>
    </row>
    <row r="21" spans="1:8" x14ac:dyDescent="0.25">
      <c r="A21" t="s">
        <v>28</v>
      </c>
      <c r="B21" s="2" t="e">
        <f>B15-(B20-B18)/12</f>
        <v>#N/A</v>
      </c>
      <c r="C21" s="2"/>
      <c r="G21" s="2"/>
      <c r="H21" s="2"/>
    </row>
    <row r="22" spans="1:8" x14ac:dyDescent="0.25">
      <c r="A22" t="s">
        <v>41</v>
      </c>
      <c r="B22" s="2" t="e">
        <f>G22</f>
        <v>#N/A</v>
      </c>
      <c r="C22" s="2" t="e">
        <f>C15</f>
        <v>#N/A</v>
      </c>
      <c r="D22" t="e">
        <f>D15-(D15*2.25/12)</f>
        <v>#N/A</v>
      </c>
      <c r="E22" s="2">
        <f>E15</f>
        <v>0</v>
      </c>
      <c r="F22">
        <f>F15-(F15*2.25/12)</f>
        <v>0</v>
      </c>
      <c r="G22" s="2" t="e">
        <f t="shared" si="0"/>
        <v>#N/A</v>
      </c>
      <c r="H22" s="2"/>
    </row>
    <row r="23" spans="1:8" x14ac:dyDescent="0.25">
      <c r="A23" t="s">
        <v>47</v>
      </c>
      <c r="B23" s="46">
        <f>C23+D23</f>
        <v>0</v>
      </c>
      <c r="C23" s="46">
        <f>C9-C17</f>
        <v>0</v>
      </c>
      <c r="D23" s="46">
        <f>D9-D17</f>
        <v>0</v>
      </c>
      <c r="E23" s="2">
        <f>E10-E16</f>
        <v>0</v>
      </c>
      <c r="F23" s="2">
        <f>F10-F16</f>
        <v>0</v>
      </c>
    </row>
    <row r="24" spans="1:8" x14ac:dyDescent="0.25">
      <c r="A24" t="s">
        <v>10</v>
      </c>
      <c r="B24" s="8">
        <f>'Enter your details here'!H30</f>
        <v>0</v>
      </c>
      <c r="C24" t="e">
        <f>INDEX(E28:F32,D24,2)</f>
        <v>#N/A</v>
      </c>
      <c r="D24" t="e">
        <f>MATCH(B24,E28:E32,0)</f>
        <v>#N/A</v>
      </c>
    </row>
    <row r="25" spans="1:8" x14ac:dyDescent="0.25">
      <c r="A25" t="s">
        <v>8</v>
      </c>
      <c r="B25" s="2">
        <v>3</v>
      </c>
      <c r="C25" s="2"/>
    </row>
    <row r="26" spans="1:8" ht="18" customHeight="1" x14ac:dyDescent="0.25">
      <c r="B26" s="2"/>
      <c r="C26" s="2"/>
    </row>
    <row r="27" spans="1:8" ht="13" x14ac:dyDescent="0.3">
      <c r="A27" s="1" t="s">
        <v>5</v>
      </c>
      <c r="B27" s="2"/>
      <c r="C27" s="2"/>
    </row>
    <row r="28" spans="1:8" x14ac:dyDescent="0.25">
      <c r="A28" t="s">
        <v>4</v>
      </c>
      <c r="B28" s="2">
        <f>B4-B5</f>
        <v>0</v>
      </c>
      <c r="C28" s="2"/>
      <c r="E28" s="12" t="s">
        <v>72</v>
      </c>
      <c r="F28" s="13">
        <v>0</v>
      </c>
    </row>
    <row r="29" spans="1:8" x14ac:dyDescent="0.25">
      <c r="A29" t="s">
        <v>21</v>
      </c>
      <c r="B29" s="2" t="e">
        <f>MAX(0,B22-B28)</f>
        <v>#N/A</v>
      </c>
      <c r="C29" s="2"/>
      <c r="E29" s="50" t="s">
        <v>110</v>
      </c>
      <c r="F29" s="14">
        <f>F30/2</f>
        <v>1.5</v>
      </c>
    </row>
    <row r="30" spans="1:8" x14ac:dyDescent="0.25">
      <c r="A30" t="s">
        <v>43</v>
      </c>
      <c r="B30" s="2" t="e">
        <f>B21-B29</f>
        <v>#N/A</v>
      </c>
      <c r="C30" s="2"/>
      <c r="E30" s="50" t="s">
        <v>111</v>
      </c>
      <c r="F30" s="15">
        <f>B25</f>
        <v>3</v>
      </c>
    </row>
    <row r="31" spans="1:8" ht="21.75" customHeight="1" x14ac:dyDescent="0.25">
      <c r="A31" t="s">
        <v>12</v>
      </c>
      <c r="B31" s="3" t="e">
        <f>(B10-B15)/B10*G9</f>
        <v>#DIV/0!</v>
      </c>
      <c r="C31" s="3"/>
      <c r="E31" s="50" t="s">
        <v>112</v>
      </c>
      <c r="F31" s="14">
        <f>F30*1.5</f>
        <v>4.5</v>
      </c>
    </row>
    <row r="32" spans="1:8" x14ac:dyDescent="0.25">
      <c r="B32" s="2"/>
      <c r="C32" s="2"/>
      <c r="E32" s="51" t="s">
        <v>113</v>
      </c>
      <c r="F32" s="16">
        <f>F30*2</f>
        <v>6</v>
      </c>
    </row>
    <row r="33" spans="1:23" x14ac:dyDescent="0.25">
      <c r="A33" t="s">
        <v>25</v>
      </c>
      <c r="B33" s="2">
        <f>45-G9+B23</f>
        <v>45</v>
      </c>
      <c r="C33" s="2"/>
    </row>
    <row r="34" spans="1:23" x14ac:dyDescent="0.25">
      <c r="B34" s="2"/>
      <c r="C34" s="2"/>
    </row>
    <row r="35" spans="1:23" x14ac:dyDescent="0.25">
      <c r="B35" s="2"/>
      <c r="C35" s="2"/>
    </row>
    <row r="36" spans="1:23" x14ac:dyDescent="0.25">
      <c r="A36" t="e">
        <f>IF(C14="AP","If you want to draw a pension of more than "&amp;TEXT(J10,"£#,###")&amp;" you must take all your benefits",IF(C14="high","This is more than your pension entitlement"," "))</f>
        <v>#N/A</v>
      </c>
    </row>
    <row r="37" spans="1:23" s="5" customFormat="1" ht="37.5" x14ac:dyDescent="0.25">
      <c r="A37" s="5" t="s">
        <v>13</v>
      </c>
      <c r="B37" s="5" t="s">
        <v>50</v>
      </c>
      <c r="C37" s="5" t="s">
        <v>18</v>
      </c>
      <c r="D37" s="5" t="s">
        <v>55</v>
      </c>
      <c r="E37" s="5" t="s">
        <v>16</v>
      </c>
      <c r="F37" s="5" t="s">
        <v>17</v>
      </c>
      <c r="G37" s="5" t="s">
        <v>45</v>
      </c>
      <c r="H37" s="5" t="s">
        <v>46</v>
      </c>
      <c r="I37" s="5" t="s">
        <v>22</v>
      </c>
      <c r="J37" s="5" t="s">
        <v>23</v>
      </c>
      <c r="K37" s="5" t="s">
        <v>96</v>
      </c>
      <c r="L37" s="5" t="s">
        <v>48</v>
      </c>
      <c r="M37" s="5" t="s">
        <v>20</v>
      </c>
      <c r="N37" s="5" t="s">
        <v>21</v>
      </c>
      <c r="O37" s="5" t="s">
        <v>26</v>
      </c>
      <c r="P37" s="5" t="s">
        <v>33</v>
      </c>
      <c r="Q37" s="5" t="s">
        <v>24</v>
      </c>
      <c r="R37" s="5" t="s">
        <v>42</v>
      </c>
      <c r="S37" s="5" t="s">
        <v>30</v>
      </c>
      <c r="T37" s="5" t="s">
        <v>27</v>
      </c>
      <c r="U37" s="5" t="s">
        <v>93</v>
      </c>
      <c r="V37" s="5" t="s">
        <v>94</v>
      </c>
      <c r="W37" s="5" t="s">
        <v>95</v>
      </c>
    </row>
    <row r="38" spans="1:23" x14ac:dyDescent="0.25">
      <c r="E38" t="s">
        <v>19</v>
      </c>
      <c r="F38" t="s">
        <v>19</v>
      </c>
    </row>
    <row r="39" spans="1:23" x14ac:dyDescent="0.25">
      <c r="A39" t="s">
        <v>14</v>
      </c>
      <c r="B39" s="4">
        <f>B7</f>
        <v>0</v>
      </c>
      <c r="C39" s="4"/>
      <c r="D39" s="4"/>
      <c r="E39" s="4"/>
      <c r="F39" s="4"/>
      <c r="G39" s="3"/>
      <c r="H39" s="3"/>
      <c r="I39" s="4"/>
      <c r="J39" s="4"/>
      <c r="K39" s="4"/>
      <c r="L39" s="4"/>
      <c r="M39" s="4"/>
      <c r="N39" s="4"/>
      <c r="O39" s="4"/>
      <c r="P39" s="4"/>
      <c r="R39" s="4">
        <f>B4</f>
        <v>0</v>
      </c>
      <c r="S39" s="4" t="e">
        <f>B20</f>
        <v>#N/A</v>
      </c>
    </row>
    <row r="40" spans="1:23" x14ac:dyDescent="0.25">
      <c r="A40" t="s">
        <v>32</v>
      </c>
      <c r="B40" s="4">
        <f>B39</f>
        <v>0</v>
      </c>
      <c r="C40" s="4"/>
      <c r="D40" s="4" t="e">
        <f>B5/$B$6</f>
        <v>#DIV/0!</v>
      </c>
      <c r="E40" s="4"/>
      <c r="F40" s="4"/>
      <c r="G40" s="3">
        <f>C23</f>
        <v>0</v>
      </c>
      <c r="H40" s="3">
        <f>D23</f>
        <v>0</v>
      </c>
      <c r="I40" s="4" t="e">
        <f>C10-C16+E23</f>
        <v>#N/A</v>
      </c>
      <c r="J40" s="4" t="e">
        <f>D10-D16+F23</f>
        <v>#N/A</v>
      </c>
      <c r="K40" s="4" t="e">
        <f>(I40+J40)*V40</f>
        <v>#N/A</v>
      </c>
      <c r="L40" s="4" t="e">
        <f>K40*$B$21/$B$15</f>
        <v>#N/A</v>
      </c>
      <c r="M40" s="4" t="e">
        <f>B21</f>
        <v>#N/A</v>
      </c>
      <c r="N40" s="4" t="e">
        <f>B29</f>
        <v>#N/A</v>
      </c>
      <c r="O40" s="4" t="e">
        <f>M40-N40</f>
        <v>#N/A</v>
      </c>
      <c r="P40" s="4" t="e">
        <f>M40+L40</f>
        <v>#N/A</v>
      </c>
      <c r="Q40" s="4" t="e">
        <f>M40-N40+(D40*$B$6)</f>
        <v>#N/A</v>
      </c>
      <c r="R40" s="4"/>
      <c r="T40" s="4" t="e">
        <f>K40*$B$20/$B$15</f>
        <v>#N/A</v>
      </c>
      <c r="U40">
        <f>B3</f>
        <v>0</v>
      </c>
      <c r="V40" t="e">
        <f>VLOOKUP(U40,$A$66:$C$76,2)</f>
        <v>#N/A</v>
      </c>
      <c r="W40" t="e">
        <f>VLOOKUP(U40,$A$66:$C$76,3)</f>
        <v>#N/A</v>
      </c>
    </row>
    <row r="41" spans="1:23" x14ac:dyDescent="0.25">
      <c r="A41" t="str">
        <f>"+ 1 year"</f>
        <v>+ 1 year</v>
      </c>
      <c r="B41" s="4">
        <f>B39*(1+$B$25/100)</f>
        <v>0</v>
      </c>
      <c r="C41" s="4"/>
      <c r="D41" s="4" t="e">
        <f>D40*(1+$C$24/100)</f>
        <v>#DIV/0!</v>
      </c>
      <c r="E41" s="4" t="e">
        <f>IF('Enter your details here'!$F$6="classic plus",F41,IF(B39&gt;D41,B39*(1+$B$25/100),D41))</f>
        <v>#DIV/0!</v>
      </c>
      <c r="F41" s="4" t="e">
        <f>MAX(B41:D41)</f>
        <v>#DIV/0!</v>
      </c>
      <c r="G41" s="3">
        <f t="shared" ref="G41:G48" si="1">MIN(G40+IF($B$2="classic",$B$6,0),$B$33)</f>
        <v>0</v>
      </c>
      <c r="H41" s="3">
        <f t="shared" ref="H41:H48" si="2">MIN(H40+IF($B$2="classic",0,$B$6),$B$33-G41)</f>
        <v>0</v>
      </c>
      <c r="I41" s="4" t="e">
        <f>(G41*E41/80+$E$23*(1+$B$25/100))</f>
        <v>#DIV/0!</v>
      </c>
      <c r="J41" s="4" t="e">
        <f>(F41*H41/60+$F$23*(1+$B$25/100))</f>
        <v>#DIV/0!</v>
      </c>
      <c r="K41" s="4" t="e">
        <f t="shared" ref="K41:K48" si="3">(I41+J41)*V41</f>
        <v>#DIV/0!</v>
      </c>
      <c r="L41" s="4" t="e">
        <f t="shared" ref="L41:L48" si="4">K41*$B$21/$B$15</f>
        <v>#DIV/0!</v>
      </c>
      <c r="M41" s="4" t="e">
        <f>M40*(1+$B$25/100)</f>
        <v>#N/A</v>
      </c>
      <c r="N41" s="4" t="e">
        <f>N40*(1+$B$25/100)</f>
        <v>#N/A</v>
      </c>
      <c r="O41" s="4" t="e">
        <f t="shared" ref="O41:O48" si="5">M41-N41</f>
        <v>#N/A</v>
      </c>
      <c r="P41" s="4" t="e">
        <f t="shared" ref="P41:P48" si="6">M41+L41</f>
        <v>#N/A</v>
      </c>
      <c r="Q41" s="4" t="e">
        <f t="shared" ref="Q41:Q48" si="7">M41-N41+(D41*$B$6)</f>
        <v>#N/A</v>
      </c>
      <c r="R41" s="4"/>
      <c r="T41" s="4" t="e">
        <f t="shared" ref="T41:T48" si="8">K41*$B$20/$B$15</f>
        <v>#DIV/0!</v>
      </c>
      <c r="U41">
        <f>U40+1</f>
        <v>1</v>
      </c>
      <c r="V41" t="e">
        <f t="shared" ref="V41:V48" si="9">VLOOKUP(U41,$A$66:$C$76,2)</f>
        <v>#N/A</v>
      </c>
      <c r="W41" t="e">
        <f t="shared" ref="W41:W48" si="10">VLOOKUP(U41,$A$66:$C$76,3)</f>
        <v>#N/A</v>
      </c>
    </row>
    <row r="42" spans="1:23" x14ac:dyDescent="0.25">
      <c r="A42" t="str">
        <f>"+ 2 years"</f>
        <v>+ 2 years</v>
      </c>
      <c r="B42" s="4">
        <f t="shared" ref="B42:B48" si="11">B41*(1+$B$25/100)</f>
        <v>0</v>
      </c>
      <c r="C42" s="4">
        <f>SUM(B40:B42)/3</f>
        <v>0</v>
      </c>
      <c r="D42" s="4" t="e">
        <f>D41*(1+$C$24/100)</f>
        <v>#DIV/0!</v>
      </c>
      <c r="E42" s="4" t="e">
        <f>IF('Enter your details here'!$F$6="classic plus",F42,IF(B39&gt;D42,B39*((1+$B$25/100)^2),D42))</f>
        <v>#DIV/0!</v>
      </c>
      <c r="F42" s="4" t="e">
        <f>MAX(B42:D42)</f>
        <v>#DIV/0!</v>
      </c>
      <c r="G42" s="3">
        <f t="shared" si="1"/>
        <v>0</v>
      </c>
      <c r="H42" s="3">
        <f t="shared" si="2"/>
        <v>0</v>
      </c>
      <c r="I42" s="4" t="e">
        <f>(G42*E42/80+$E$23*((1+$B$25/100)^2))</f>
        <v>#DIV/0!</v>
      </c>
      <c r="J42" s="4" t="e">
        <f>(F42*H42/60+$F$23*((1+$B$25/100)^2))</f>
        <v>#DIV/0!</v>
      </c>
      <c r="K42" s="4" t="e">
        <f t="shared" si="3"/>
        <v>#DIV/0!</v>
      </c>
      <c r="L42" s="4" t="e">
        <f t="shared" si="4"/>
        <v>#DIV/0!</v>
      </c>
      <c r="M42" s="4" t="e">
        <f t="shared" ref="M42:M48" si="12">M41*(1+$B$25/100)</f>
        <v>#N/A</v>
      </c>
      <c r="N42" s="4" t="e">
        <f t="shared" ref="N42:N48" si="13">N41*(1+$B$25/100)</f>
        <v>#N/A</v>
      </c>
      <c r="O42" s="4" t="e">
        <f t="shared" si="5"/>
        <v>#N/A</v>
      </c>
      <c r="P42" s="4" t="e">
        <f t="shared" si="6"/>
        <v>#N/A</v>
      </c>
      <c r="Q42" s="4" t="e">
        <f t="shared" si="7"/>
        <v>#N/A</v>
      </c>
      <c r="R42" s="4"/>
      <c r="T42" s="4" t="e">
        <f t="shared" si="8"/>
        <v>#DIV/0!</v>
      </c>
      <c r="U42">
        <f t="shared" ref="U42:U48" si="14">U41+1</f>
        <v>2</v>
      </c>
      <c r="V42" t="e">
        <f t="shared" si="9"/>
        <v>#N/A</v>
      </c>
      <c r="W42" t="e">
        <f t="shared" si="10"/>
        <v>#N/A</v>
      </c>
    </row>
    <row r="43" spans="1:23" x14ac:dyDescent="0.25">
      <c r="A43" t="str">
        <f>"+ 3 years"</f>
        <v>+ 3 years</v>
      </c>
      <c r="B43" s="4">
        <f t="shared" si="11"/>
        <v>0</v>
      </c>
      <c r="C43" s="4">
        <f t="shared" ref="C43:C48" si="15">SUM(B41:B43)/3</f>
        <v>0</v>
      </c>
      <c r="D43" s="4" t="e">
        <f t="shared" ref="D43:D48" si="16">D42*(1+$C$24/100)</f>
        <v>#DIV/0!</v>
      </c>
      <c r="E43" s="4" t="e">
        <f>IF('Enter your details here'!$F$6="classic plus",F43,D43)</f>
        <v>#DIV/0!</v>
      </c>
      <c r="F43" s="4" t="e">
        <f>MAX(B43:D43)</f>
        <v>#DIV/0!</v>
      </c>
      <c r="G43" s="3">
        <f t="shared" si="1"/>
        <v>0</v>
      </c>
      <c r="H43" s="3">
        <f t="shared" si="2"/>
        <v>0</v>
      </c>
      <c r="I43" s="4" t="e">
        <f>(G43*E43/80+$E$23*((1+$B$25/100)^3))</f>
        <v>#DIV/0!</v>
      </c>
      <c r="J43" s="4" t="e">
        <f>(F43*H43/60+$F$23*((1+$B$25/100)^3))</f>
        <v>#DIV/0!</v>
      </c>
      <c r="K43" s="4" t="e">
        <f t="shared" si="3"/>
        <v>#DIV/0!</v>
      </c>
      <c r="L43" s="4" t="e">
        <f t="shared" si="4"/>
        <v>#DIV/0!</v>
      </c>
      <c r="M43" s="4" t="e">
        <f t="shared" si="12"/>
        <v>#N/A</v>
      </c>
      <c r="N43" s="4" t="e">
        <f t="shared" si="13"/>
        <v>#N/A</v>
      </c>
      <c r="O43" s="4" t="e">
        <f t="shared" si="5"/>
        <v>#N/A</v>
      </c>
      <c r="P43" s="4" t="e">
        <f t="shared" si="6"/>
        <v>#N/A</v>
      </c>
      <c r="Q43" s="4" t="e">
        <f t="shared" si="7"/>
        <v>#N/A</v>
      </c>
      <c r="R43" s="4"/>
      <c r="T43" s="4" t="e">
        <f t="shared" si="8"/>
        <v>#DIV/0!</v>
      </c>
      <c r="U43">
        <f t="shared" si="14"/>
        <v>3</v>
      </c>
      <c r="V43" t="e">
        <f t="shared" si="9"/>
        <v>#N/A</v>
      </c>
      <c r="W43" t="e">
        <f t="shared" si="10"/>
        <v>#N/A</v>
      </c>
    </row>
    <row r="44" spans="1:23" x14ac:dyDescent="0.25">
      <c r="A44" t="str">
        <f>"+ 4 years"</f>
        <v>+ 4 years</v>
      </c>
      <c r="B44" s="4">
        <f t="shared" si="11"/>
        <v>0</v>
      </c>
      <c r="C44" s="4">
        <f t="shared" si="15"/>
        <v>0</v>
      </c>
      <c r="D44" s="4" t="e">
        <f t="shared" si="16"/>
        <v>#DIV/0!</v>
      </c>
      <c r="E44" s="4" t="e">
        <f>IF('Enter your details here'!$F$6="classic plus",F44,D44)</f>
        <v>#DIV/0!</v>
      </c>
      <c r="F44" s="4" t="e">
        <f>MAX(B44:D44)</f>
        <v>#DIV/0!</v>
      </c>
      <c r="G44" s="3">
        <f t="shared" si="1"/>
        <v>0</v>
      </c>
      <c r="H44" s="3">
        <f t="shared" si="2"/>
        <v>0</v>
      </c>
      <c r="I44" s="4" t="e">
        <f>(G44*E44/80+$E$23*((1+$B$25/100)^4))</f>
        <v>#DIV/0!</v>
      </c>
      <c r="J44" s="4" t="e">
        <f>(F44*H44/60+$F$23*((1+$B$25/100)^4))</f>
        <v>#DIV/0!</v>
      </c>
      <c r="K44" s="4" t="e">
        <f t="shared" si="3"/>
        <v>#DIV/0!</v>
      </c>
      <c r="L44" s="4" t="e">
        <f t="shared" si="4"/>
        <v>#DIV/0!</v>
      </c>
      <c r="M44" s="4" t="e">
        <f t="shared" si="12"/>
        <v>#N/A</v>
      </c>
      <c r="N44" s="4" t="e">
        <f t="shared" si="13"/>
        <v>#N/A</v>
      </c>
      <c r="O44" s="4" t="e">
        <f t="shared" si="5"/>
        <v>#N/A</v>
      </c>
      <c r="P44" s="4" t="e">
        <f t="shared" si="6"/>
        <v>#N/A</v>
      </c>
      <c r="Q44" s="4" t="e">
        <f t="shared" si="7"/>
        <v>#N/A</v>
      </c>
      <c r="R44" s="4"/>
      <c r="T44" s="4" t="e">
        <f t="shared" si="8"/>
        <v>#DIV/0!</v>
      </c>
      <c r="U44">
        <f t="shared" si="14"/>
        <v>4</v>
      </c>
      <c r="V44" t="e">
        <f t="shared" si="9"/>
        <v>#N/A</v>
      </c>
      <c r="W44" t="e">
        <f t="shared" si="10"/>
        <v>#N/A</v>
      </c>
    </row>
    <row r="45" spans="1:23" x14ac:dyDescent="0.25">
      <c r="A45" t="str">
        <f>"+ 5 years"</f>
        <v>+ 5 years</v>
      </c>
      <c r="B45" s="4">
        <f t="shared" si="11"/>
        <v>0</v>
      </c>
      <c r="C45" s="4">
        <f t="shared" si="15"/>
        <v>0</v>
      </c>
      <c r="D45" s="4" t="e">
        <f t="shared" si="16"/>
        <v>#DIV/0!</v>
      </c>
      <c r="E45" s="4" t="e">
        <f>IF('Enter your details here'!$F$6="classic plus",F45,D45)</f>
        <v>#DIV/0!</v>
      </c>
      <c r="F45" s="4" t="e">
        <f>MAX(C45:D45)</f>
        <v>#DIV/0!</v>
      </c>
      <c r="G45" s="3">
        <f t="shared" si="1"/>
        <v>0</v>
      </c>
      <c r="H45" s="3">
        <f t="shared" si="2"/>
        <v>0</v>
      </c>
      <c r="I45" s="4" t="e">
        <f>(G45*E45/80+$E$23*((1+$B$25/100)^5))</f>
        <v>#DIV/0!</v>
      </c>
      <c r="J45" s="4" t="e">
        <f>F45*H45/60+$F$23*((1+$B$25/100)^5)</f>
        <v>#DIV/0!</v>
      </c>
      <c r="K45" s="4" t="e">
        <f t="shared" si="3"/>
        <v>#DIV/0!</v>
      </c>
      <c r="L45" s="4" t="e">
        <f t="shared" si="4"/>
        <v>#DIV/0!</v>
      </c>
      <c r="M45" s="4" t="e">
        <f t="shared" si="12"/>
        <v>#N/A</v>
      </c>
      <c r="N45" s="4" t="e">
        <f t="shared" si="13"/>
        <v>#N/A</v>
      </c>
      <c r="O45" s="4" t="e">
        <f t="shared" si="5"/>
        <v>#N/A</v>
      </c>
      <c r="P45" s="4" t="e">
        <f t="shared" si="6"/>
        <v>#N/A</v>
      </c>
      <c r="Q45" s="4" t="e">
        <f t="shared" si="7"/>
        <v>#N/A</v>
      </c>
      <c r="R45" s="4"/>
      <c r="T45" s="4" t="e">
        <f t="shared" si="8"/>
        <v>#DIV/0!</v>
      </c>
      <c r="U45">
        <f t="shared" si="14"/>
        <v>5</v>
      </c>
      <c r="V45" t="e">
        <f t="shared" si="9"/>
        <v>#N/A</v>
      </c>
      <c r="W45" t="e">
        <f t="shared" si="10"/>
        <v>#N/A</v>
      </c>
    </row>
    <row r="46" spans="1:23" x14ac:dyDescent="0.25">
      <c r="A46" t="str">
        <f>"+ 6 years"</f>
        <v>+ 6 years</v>
      </c>
      <c r="B46" s="4">
        <f t="shared" si="11"/>
        <v>0</v>
      </c>
      <c r="C46" s="4">
        <f t="shared" si="15"/>
        <v>0</v>
      </c>
      <c r="D46" s="4" t="e">
        <f t="shared" si="16"/>
        <v>#DIV/0!</v>
      </c>
      <c r="E46" s="4" t="e">
        <f>IF('Enter your details here'!$F$6="classic plus",F46,D46)</f>
        <v>#DIV/0!</v>
      </c>
      <c r="F46" s="4" t="e">
        <f>MAX(C46:D46)</f>
        <v>#DIV/0!</v>
      </c>
      <c r="G46" s="3">
        <f t="shared" si="1"/>
        <v>0</v>
      </c>
      <c r="H46" s="3">
        <f t="shared" si="2"/>
        <v>0</v>
      </c>
      <c r="I46" s="4" t="e">
        <f>(G46*E46/80+$E$23*((1+$B$25/100)^6))</f>
        <v>#DIV/0!</v>
      </c>
      <c r="J46" s="4" t="e">
        <f>F46*H46/60+$F$23*((1+$B$25/100)^6)</f>
        <v>#DIV/0!</v>
      </c>
      <c r="K46" s="4" t="e">
        <f t="shared" si="3"/>
        <v>#DIV/0!</v>
      </c>
      <c r="L46" s="4" t="e">
        <f t="shared" si="4"/>
        <v>#DIV/0!</v>
      </c>
      <c r="M46" s="4" t="e">
        <f t="shared" si="12"/>
        <v>#N/A</v>
      </c>
      <c r="N46" s="4" t="e">
        <f t="shared" si="13"/>
        <v>#N/A</v>
      </c>
      <c r="O46" s="4" t="e">
        <f t="shared" si="5"/>
        <v>#N/A</v>
      </c>
      <c r="P46" s="4" t="e">
        <f t="shared" si="6"/>
        <v>#N/A</v>
      </c>
      <c r="Q46" s="4" t="e">
        <f t="shared" si="7"/>
        <v>#N/A</v>
      </c>
      <c r="R46" s="4"/>
      <c r="T46" s="4" t="e">
        <f t="shared" si="8"/>
        <v>#DIV/0!</v>
      </c>
      <c r="U46">
        <f t="shared" si="14"/>
        <v>6</v>
      </c>
      <c r="V46" t="e">
        <f t="shared" si="9"/>
        <v>#N/A</v>
      </c>
      <c r="W46" t="e">
        <f t="shared" si="10"/>
        <v>#N/A</v>
      </c>
    </row>
    <row r="47" spans="1:23" x14ac:dyDescent="0.25">
      <c r="A47" t="str">
        <f>"+ 7 years"</f>
        <v>+ 7 years</v>
      </c>
      <c r="B47" s="4">
        <f t="shared" si="11"/>
        <v>0</v>
      </c>
      <c r="C47" s="4">
        <f t="shared" si="15"/>
        <v>0</v>
      </c>
      <c r="D47" s="4" t="e">
        <f t="shared" si="16"/>
        <v>#DIV/0!</v>
      </c>
      <c r="E47" s="4" t="e">
        <f>IF('Enter your details here'!$F$6="classic plus",F47,D47)</f>
        <v>#DIV/0!</v>
      </c>
      <c r="F47" s="4" t="e">
        <f>MAX(C47:D47)</f>
        <v>#DIV/0!</v>
      </c>
      <c r="G47" s="3">
        <f t="shared" si="1"/>
        <v>0</v>
      </c>
      <c r="H47" s="3">
        <f t="shared" si="2"/>
        <v>0</v>
      </c>
      <c r="I47" s="4" t="e">
        <f>(G47*E47/80+$E$23*((1+$B$25/100)^7))</f>
        <v>#DIV/0!</v>
      </c>
      <c r="J47" s="4" t="e">
        <f>F47*H47/60+$F$23*((1+$B$25/100)^7)</f>
        <v>#DIV/0!</v>
      </c>
      <c r="K47" s="4" t="e">
        <f t="shared" si="3"/>
        <v>#DIV/0!</v>
      </c>
      <c r="L47" s="4" t="e">
        <f t="shared" si="4"/>
        <v>#DIV/0!</v>
      </c>
      <c r="M47" s="4" t="e">
        <f t="shared" si="12"/>
        <v>#N/A</v>
      </c>
      <c r="N47" s="4" t="e">
        <f t="shared" si="13"/>
        <v>#N/A</v>
      </c>
      <c r="O47" s="4" t="e">
        <f t="shared" si="5"/>
        <v>#N/A</v>
      </c>
      <c r="P47" s="4" t="e">
        <f t="shared" si="6"/>
        <v>#N/A</v>
      </c>
      <c r="Q47" s="4" t="e">
        <f t="shared" si="7"/>
        <v>#N/A</v>
      </c>
      <c r="R47" s="4"/>
      <c r="T47" s="4" t="e">
        <f t="shared" si="8"/>
        <v>#DIV/0!</v>
      </c>
      <c r="U47">
        <f t="shared" si="14"/>
        <v>7</v>
      </c>
      <c r="V47" t="e">
        <f t="shared" si="9"/>
        <v>#N/A</v>
      </c>
      <c r="W47" t="e">
        <f t="shared" si="10"/>
        <v>#N/A</v>
      </c>
    </row>
    <row r="48" spans="1:23" x14ac:dyDescent="0.25">
      <c r="A48" t="str">
        <f>"+ 8 years"</f>
        <v>+ 8 years</v>
      </c>
      <c r="B48" s="4">
        <f t="shared" si="11"/>
        <v>0</v>
      </c>
      <c r="C48" s="4">
        <f t="shared" si="15"/>
        <v>0</v>
      </c>
      <c r="D48" s="4" t="e">
        <f t="shared" si="16"/>
        <v>#DIV/0!</v>
      </c>
      <c r="E48" s="4" t="e">
        <f>IF('Enter your details here'!$F$6="classic plus",F48,D48)</f>
        <v>#DIV/0!</v>
      </c>
      <c r="F48" s="4" t="e">
        <f>MAX(C48:D48)</f>
        <v>#DIV/0!</v>
      </c>
      <c r="G48" s="3">
        <f t="shared" si="1"/>
        <v>0</v>
      </c>
      <c r="H48" s="3">
        <f t="shared" si="2"/>
        <v>0</v>
      </c>
      <c r="I48" s="4" t="e">
        <f>(G48*E48/80+$E$23*((1+$B$25/100)^8))</f>
        <v>#DIV/0!</v>
      </c>
      <c r="J48" s="4" t="e">
        <f>F48*H48/60+$F$23*((1+$B$25/100)^8)</f>
        <v>#DIV/0!</v>
      </c>
      <c r="K48" s="4" t="e">
        <f t="shared" si="3"/>
        <v>#DIV/0!</v>
      </c>
      <c r="L48" s="4" t="e">
        <f t="shared" si="4"/>
        <v>#DIV/0!</v>
      </c>
      <c r="M48" s="4" t="e">
        <f t="shared" si="12"/>
        <v>#N/A</v>
      </c>
      <c r="N48" s="4" t="e">
        <f t="shared" si="13"/>
        <v>#N/A</v>
      </c>
      <c r="O48" s="4" t="e">
        <f t="shared" si="5"/>
        <v>#N/A</v>
      </c>
      <c r="P48" s="4" t="e">
        <f t="shared" si="6"/>
        <v>#N/A</v>
      </c>
      <c r="Q48" s="4" t="e">
        <f t="shared" si="7"/>
        <v>#N/A</v>
      </c>
      <c r="R48" s="4"/>
      <c r="T48" s="4" t="e">
        <f t="shared" si="8"/>
        <v>#DIV/0!</v>
      </c>
      <c r="U48">
        <f t="shared" si="14"/>
        <v>8</v>
      </c>
      <c r="V48" t="e">
        <f t="shared" si="9"/>
        <v>#N/A</v>
      </c>
      <c r="W48" t="e">
        <f t="shared" si="10"/>
        <v>#N/A</v>
      </c>
    </row>
    <row r="50" spans="1:11" x14ac:dyDescent="0.25">
      <c r="A50" t="str">
        <f>"You have said that you have a total pension entitlement of "&amp;TEXT(B10,"£#,###")&amp; IF(B2&lt;&gt;"premium"," plus a lump sum of "&amp;TEXT(B11,"£#,###"),"")&amp;".  "</f>
        <v xml:space="preserve">You have said that you have a total pension entitlement of £ plus a lump sum of £.  </v>
      </c>
    </row>
    <row r="51" spans="1:11" x14ac:dyDescent="0.25">
      <c r="A51" t="e">
        <f>IF(E3="*"," After reduction for early retirement, this provides a pension of "&amp;TEXT(I10,"£#,###") &amp; IF(B2&lt;&gt;"premium"," and a lump sum of "&amp;TEXT(I11,"£#,###"),"")," ")</f>
        <v>#N/A</v>
      </c>
    </row>
    <row r="52" spans="1:11" x14ac:dyDescent="0.25">
      <c r="A52" t="e">
        <f>"  You have chosen to take a pension of "&amp;TEXT(B21,"£#,###")&amp; " plus a lump sum of "&amp;TEXT(ROUNDDOWN(B20,0),"£#,###")&amp;"."</f>
        <v>#N/A</v>
      </c>
    </row>
    <row r="53" spans="1:11" x14ac:dyDescent="0.25">
      <c r="A53" t="str">
        <f>"Your pension entitlement is based on "&amp;TEXT(G9,"0.0")&amp;" years service, and your partial retirement leaves you with approximately "&amp;TEXT(B23,"0.0")&amp;" years."&amp;IF(E23+F23&gt;0,"  You also have "&amp;TEXT(E23+F23,"£#,###")&amp;" added pension remaining.","")</f>
        <v>Your pension entitlement is based on 0.0 years service, and your partial retirement leaves you with approximately 0.0 years.</v>
      </c>
    </row>
    <row r="54" spans="1:11" ht="42.75" customHeight="1" x14ac:dyDescent="0.25">
      <c r="A54" s="64" t="e">
        <f>IF(B29&gt;0,"Your new earnings plus pension are greater than your pensionable earnings in your last 12 months, so your new pension will be abated while you continue in work.  For the purposes of the abatement calculation, your pension is assumed to be "&amp;TEXT(B22,"£#,###")&amp;", that is, the amount if you had taken the standard lump sum.  Your pension will be reduced by "&amp;TEXT(B29,"£#,###")&amp;", that is, to "&amp;TEXT(B30,"£#,###")&amp;" a year","Abatement does not apply in your case.")</f>
        <v>#N/A</v>
      </c>
      <c r="B54" s="64"/>
      <c r="C54" s="64"/>
      <c r="D54" s="64"/>
      <c r="E54" s="64"/>
      <c r="F54" s="64"/>
      <c r="G54" s="64"/>
      <c r="H54" s="64"/>
      <c r="I54" s="64"/>
      <c r="J54" s="64"/>
      <c r="K54" s="64"/>
    </row>
    <row r="55" spans="1:11" x14ac:dyDescent="0.25">
      <c r="A55" t="str">
        <f>"The first section of the chart shows your current earnings (last 12 months) and the lump sum you have chosen to take now."</f>
        <v>The first section of the chart shows your current earnings (last 12 months) and the lump sum you have chosen to take now.</v>
      </c>
    </row>
    <row r="56" spans="1:11" x14ac:dyDescent="0.25">
      <c r="A56" t="s">
        <v>53</v>
      </c>
    </row>
    <row r="57" spans="1:11" x14ac:dyDescent="0.25">
      <c r="A57" t="s">
        <v>54</v>
      </c>
    </row>
    <row r="58" spans="1:11" x14ac:dyDescent="0.25">
      <c r="A58" t="s">
        <v>44</v>
      </c>
    </row>
    <row r="59" spans="1:11" x14ac:dyDescent="0.25">
      <c r="A59" t="str">
        <f>"Your pension in payment - and any Added Pension you have - will increase every year with the Consumer Price Index.  For the purposes of the projections, we have assumed CPI of "&amp;TEXT(B25/100,"0.00%")</f>
        <v>Your pension in payment - and any Added Pension you have - will increase every year with the Consumer Price Index.  For the purposes of the projections, we have assumed CPI of 3.00%</v>
      </c>
    </row>
    <row r="60" spans="1:11" x14ac:dyDescent="0.25">
      <c r="A60" t="e">
        <f>"You have assumed that your new pay will increase at a rate described as ' "&amp;B24&amp;"'.  We have allowed for pay rises of "&amp;TEXT(D24/100,"0.00%")&amp;" a year."</f>
        <v>#N/A</v>
      </c>
    </row>
    <row r="61" spans="1:11" ht="42.75" customHeight="1" x14ac:dyDescent="0.25">
      <c r="A61" s="64" t="s">
        <v>49</v>
      </c>
      <c r="B61" s="64"/>
      <c r="C61" s="64"/>
      <c r="D61" s="64"/>
      <c r="E61" s="64"/>
      <c r="F61" s="64"/>
      <c r="G61" s="64"/>
      <c r="H61" s="64"/>
      <c r="I61" s="64"/>
      <c r="J61" s="64"/>
      <c r="K61" s="64"/>
    </row>
    <row r="62" spans="1:11" x14ac:dyDescent="0.25">
      <c r="A62" t="e">
        <f>IF(B29&gt;0,"Please note that your pension will be reduced by "&amp;TEXT(B29,"£#,###")&amp;" a year while you carry on in work.  This is called abatement.","")</f>
        <v>#N/A</v>
      </c>
    </row>
    <row r="65" spans="1:3" x14ac:dyDescent="0.25">
      <c r="A65" t="s">
        <v>84</v>
      </c>
      <c r="B65" t="s">
        <v>38</v>
      </c>
      <c r="C65" t="s">
        <v>85</v>
      </c>
    </row>
    <row r="66" spans="1:3" x14ac:dyDescent="0.25">
      <c r="A66">
        <v>50</v>
      </c>
      <c r="B66" s="56">
        <v>0.65</v>
      </c>
      <c r="C66" s="58">
        <v>0.79</v>
      </c>
    </row>
    <row r="67" spans="1:3" x14ac:dyDescent="0.25">
      <c r="A67">
        <v>51</v>
      </c>
      <c r="B67" s="56">
        <v>0.67500000000000004</v>
      </c>
      <c r="C67" s="58">
        <v>0.80900000000000005</v>
      </c>
    </row>
    <row r="68" spans="1:3" x14ac:dyDescent="0.25">
      <c r="A68">
        <v>52</v>
      </c>
      <c r="B68" s="56">
        <v>0.70099999999999996</v>
      </c>
      <c r="C68" s="58">
        <v>0.82799999999999996</v>
      </c>
    </row>
    <row r="69" spans="1:3" x14ac:dyDescent="0.25">
      <c r="A69">
        <v>53</v>
      </c>
      <c r="B69" s="56">
        <v>0.73</v>
      </c>
      <c r="C69" s="58">
        <v>0.84799999999999998</v>
      </c>
    </row>
    <row r="70" spans="1:3" x14ac:dyDescent="0.25">
      <c r="A70">
        <v>54</v>
      </c>
      <c r="B70" s="56">
        <v>0.76</v>
      </c>
      <c r="C70" s="58">
        <v>0.86799999999999999</v>
      </c>
    </row>
    <row r="71" spans="1:3" x14ac:dyDescent="0.25">
      <c r="A71">
        <v>55</v>
      </c>
      <c r="B71" s="56">
        <v>0.79400000000000004</v>
      </c>
      <c r="C71" s="58">
        <v>0.88900000000000001</v>
      </c>
    </row>
    <row r="72" spans="1:3" x14ac:dyDescent="0.25">
      <c r="A72">
        <v>56</v>
      </c>
      <c r="B72" s="56">
        <v>0.83</v>
      </c>
      <c r="C72" s="58">
        <v>0.91</v>
      </c>
    </row>
    <row r="73" spans="1:3" x14ac:dyDescent="0.25">
      <c r="A73">
        <v>57</v>
      </c>
      <c r="B73" s="56">
        <v>0.86799999999999999</v>
      </c>
      <c r="C73" s="58">
        <v>0.93200000000000005</v>
      </c>
    </row>
    <row r="74" spans="1:3" x14ac:dyDescent="0.25">
      <c r="A74">
        <v>58</v>
      </c>
      <c r="B74" s="56">
        <v>0.91</v>
      </c>
      <c r="C74" s="58">
        <v>0.95499999999999996</v>
      </c>
    </row>
    <row r="75" spans="1:3" x14ac:dyDescent="0.25">
      <c r="A75">
        <v>59</v>
      </c>
      <c r="B75" s="56">
        <v>0.95399999999999996</v>
      </c>
      <c r="C75" s="58">
        <v>0.97799999999999998</v>
      </c>
    </row>
    <row r="76" spans="1:3" x14ac:dyDescent="0.25">
      <c r="A76">
        <v>60</v>
      </c>
      <c r="B76">
        <v>1</v>
      </c>
      <c r="C76" s="58">
        <v>1</v>
      </c>
    </row>
  </sheetData>
  <sheetProtection algorithmName="SHA-512" hashValue="TbRlGtbNQyzgiIPAnh6Pvi7YgLKmPn1ObbxDTdGGXOFmJF2LiimxGeHvxy9t38aGEJZt+iOVLIY+ouZ7r7/rBA==" saltValue="QQxkC+7E1QaB4oOOzs9kYw==" spinCount="100000" sheet="1" objects="1" scenarios="1" selectLockedCells="1" selectUnlockedCells="1"/>
  <mergeCells count="2">
    <mergeCell ref="A54:K54"/>
    <mergeCell ref="A61:K61"/>
  </mergeCells>
  <phoneticPr fontId="2" type="noConversion"/>
  <conditionalFormatting sqref="C66:C76">
    <cfRule type="expression" dxfId="1" priority="1" stopIfTrue="1">
      <formula>MOD(ROW(),2)=0</formula>
    </cfRule>
    <cfRule type="expression" dxfId="0" priority="2" stopIfTrue="1">
      <formula>MOD(ROW(),2)&lt;&gt;0</formula>
    </cfRule>
  </conditionalFormatting>
  <pageMargins left="0.75" right="0.75" top="1" bottom="1" header="0.5" footer="0.5"/>
  <pageSetup paperSize="9" orientation="portrait" r:id="rId1"/>
  <headerFooter alignWithMargins="0">
    <oddFooter>&amp;L_x000D_&amp;1#&amp;"Arial"&amp;10&amp;K000000 Capita – Confidential INTERNAL</oddFooter>
  </headerFooter>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B2:E29"/>
  <sheetViews>
    <sheetView zoomScaleNormal="100" workbookViewId="0">
      <selection activeCell="P31" sqref="P31"/>
    </sheetView>
  </sheetViews>
  <sheetFormatPr defaultRowHeight="12.5" x14ac:dyDescent="0.25"/>
  <cols>
    <col min="2" max="2" width="20.54296875" customWidth="1"/>
  </cols>
  <sheetData>
    <row r="2" spans="2:5" ht="13" thickBot="1" x14ac:dyDescent="0.3">
      <c r="B2" s="57" t="s">
        <v>117</v>
      </c>
    </row>
    <row r="3" spans="2:5" ht="13" thickBot="1" x14ac:dyDescent="0.3">
      <c r="B3" s="69" t="s">
        <v>114</v>
      </c>
      <c r="C3" s="52"/>
      <c r="D3" s="53" t="s">
        <v>115</v>
      </c>
      <c r="E3" s="53">
        <v>0</v>
      </c>
    </row>
    <row r="4" spans="2:5" ht="13" thickBot="1" x14ac:dyDescent="0.3">
      <c r="B4" s="70"/>
      <c r="C4" s="54">
        <v>50</v>
      </c>
      <c r="D4" s="55"/>
      <c r="E4" s="56">
        <v>0.63700000000000001</v>
      </c>
    </row>
    <row r="5" spans="2:5" ht="13" thickBot="1" x14ac:dyDescent="0.3">
      <c r="B5" s="70"/>
      <c r="C5" s="54">
        <v>51</v>
      </c>
      <c r="D5" s="55"/>
      <c r="E5" s="56">
        <v>0.66300000000000003</v>
      </c>
    </row>
    <row r="6" spans="2:5" ht="13" thickBot="1" x14ac:dyDescent="0.3">
      <c r="B6" s="70"/>
      <c r="C6" s="54">
        <v>52</v>
      </c>
      <c r="D6" s="55"/>
      <c r="E6" s="56">
        <v>0.69</v>
      </c>
    </row>
    <row r="7" spans="2:5" ht="13" thickBot="1" x14ac:dyDescent="0.3">
      <c r="B7" s="70"/>
      <c r="C7" s="54">
        <v>53</v>
      </c>
      <c r="D7" s="55"/>
      <c r="E7" s="56">
        <v>0.72</v>
      </c>
    </row>
    <row r="8" spans="2:5" ht="13" thickBot="1" x14ac:dyDescent="0.3">
      <c r="B8" s="70"/>
      <c r="C8" s="54">
        <v>54</v>
      </c>
      <c r="D8" s="55"/>
      <c r="E8" s="56">
        <v>0.753</v>
      </c>
    </row>
    <row r="9" spans="2:5" ht="13" thickBot="1" x14ac:dyDescent="0.3">
      <c r="B9" s="70"/>
      <c r="C9" s="54">
        <v>55</v>
      </c>
      <c r="D9" s="55"/>
      <c r="E9" s="56">
        <v>0.78800000000000003</v>
      </c>
    </row>
    <row r="10" spans="2:5" ht="13" thickBot="1" x14ac:dyDescent="0.3">
      <c r="B10" s="70"/>
      <c r="C10" s="54">
        <v>56</v>
      </c>
      <c r="D10" s="55"/>
      <c r="E10" s="56">
        <v>0.82499999999999996</v>
      </c>
    </row>
    <row r="11" spans="2:5" ht="13" thickBot="1" x14ac:dyDescent="0.3">
      <c r="B11" s="70"/>
      <c r="C11" s="54">
        <v>57</v>
      </c>
      <c r="D11" s="55"/>
      <c r="E11" s="56">
        <v>0.86499999999999999</v>
      </c>
    </row>
    <row r="12" spans="2:5" ht="13" thickBot="1" x14ac:dyDescent="0.3">
      <c r="B12" s="70"/>
      <c r="C12" s="54">
        <v>58</v>
      </c>
      <c r="D12" s="55"/>
      <c r="E12" s="56">
        <v>0.90700000000000003</v>
      </c>
    </row>
    <row r="13" spans="2:5" ht="13" thickBot="1" x14ac:dyDescent="0.3">
      <c r="B13" s="71"/>
      <c r="C13" s="54">
        <v>59</v>
      </c>
      <c r="D13" s="55"/>
      <c r="E13" s="56">
        <v>0.95299999999999996</v>
      </c>
    </row>
    <row r="17" spans="2:5" x14ac:dyDescent="0.25">
      <c r="B17" s="57" t="s">
        <v>116</v>
      </c>
    </row>
    <row r="18" spans="2:5" ht="13" thickBot="1" x14ac:dyDescent="0.3"/>
    <row r="19" spans="2:5" ht="13" thickBot="1" x14ac:dyDescent="0.3">
      <c r="B19" s="69" t="s">
        <v>114</v>
      </c>
      <c r="C19" s="52"/>
      <c r="D19" s="53" t="s">
        <v>115</v>
      </c>
      <c r="E19" s="53">
        <v>0</v>
      </c>
    </row>
    <row r="20" spans="2:5" ht="13" thickBot="1" x14ac:dyDescent="0.3">
      <c r="B20" s="70"/>
      <c r="C20" s="54">
        <v>50</v>
      </c>
      <c r="D20" s="55"/>
      <c r="E20" s="56">
        <v>0.72799999999999998</v>
      </c>
    </row>
    <row r="21" spans="2:5" ht="13" thickBot="1" x14ac:dyDescent="0.3">
      <c r="B21" s="70"/>
      <c r="C21" s="54">
        <v>51</v>
      </c>
      <c r="D21" s="55"/>
      <c r="E21" s="56">
        <v>0.751</v>
      </c>
    </row>
    <row r="22" spans="2:5" ht="13" thickBot="1" x14ac:dyDescent="0.3">
      <c r="B22" s="70"/>
      <c r="C22" s="54">
        <v>52</v>
      </c>
      <c r="D22" s="55"/>
      <c r="E22" s="56">
        <v>0.77500000000000002</v>
      </c>
    </row>
    <row r="23" spans="2:5" ht="13" thickBot="1" x14ac:dyDescent="0.3">
      <c r="B23" s="70"/>
      <c r="C23" s="54">
        <v>53</v>
      </c>
      <c r="D23" s="55"/>
      <c r="E23" s="56">
        <v>0.79900000000000004</v>
      </c>
    </row>
    <row r="24" spans="2:5" ht="13" thickBot="1" x14ac:dyDescent="0.3">
      <c r="B24" s="70"/>
      <c r="C24" s="54">
        <v>54</v>
      </c>
      <c r="D24" s="55"/>
      <c r="E24" s="56">
        <v>0.82499999999999996</v>
      </c>
    </row>
    <row r="25" spans="2:5" ht="13" thickBot="1" x14ac:dyDescent="0.3">
      <c r="B25" s="70"/>
      <c r="C25" s="54">
        <v>55</v>
      </c>
      <c r="D25" s="55"/>
      <c r="E25" s="56">
        <v>0.85099999999999998</v>
      </c>
    </row>
    <row r="26" spans="2:5" ht="13" thickBot="1" x14ac:dyDescent="0.3">
      <c r="B26" s="70"/>
      <c r="C26" s="54">
        <v>56</v>
      </c>
      <c r="D26" s="55"/>
      <c r="E26" s="56">
        <v>0.879</v>
      </c>
    </row>
    <row r="27" spans="2:5" ht="13" thickBot="1" x14ac:dyDescent="0.3">
      <c r="B27" s="70"/>
      <c r="C27" s="54">
        <v>57</v>
      </c>
      <c r="D27" s="55"/>
      <c r="E27" s="56">
        <v>0.90800000000000003</v>
      </c>
    </row>
    <row r="28" spans="2:5" ht="13" thickBot="1" x14ac:dyDescent="0.3">
      <c r="B28" s="70"/>
      <c r="C28" s="54">
        <v>58</v>
      </c>
      <c r="D28" s="55"/>
      <c r="E28" s="56">
        <v>0.93799999999999994</v>
      </c>
    </row>
    <row r="29" spans="2:5" ht="13" thickBot="1" x14ac:dyDescent="0.3">
      <c r="B29" s="71"/>
      <c r="C29" s="54">
        <v>59</v>
      </c>
      <c r="D29" s="55"/>
      <c r="E29" s="56">
        <v>0.96899999999999997</v>
      </c>
    </row>
  </sheetData>
  <sheetProtection algorithmName="SHA-512" hashValue="VLP5NSx5lqVFZZqTN4OHctNy/eQ4vqPRiLbQnmLjFgR5H9gs1bRhlMp2r1iO+LZgiVuUOLQOgyj/DOaxgDM0/Q==" saltValue="M9B7AeCspylUDzj7SjHS8Q==" spinCount="100000" sheet="1" objects="1" scenarios="1" selectLockedCells="1" selectUnlockedCells="1"/>
  <mergeCells count="2">
    <mergeCell ref="B3:B13"/>
    <mergeCell ref="B19:B29"/>
  </mergeCells>
  <pageMargins left="0.7" right="0.7" top="0.75" bottom="0.75" header="0.3" footer="0.3"/>
  <headerFooter>
    <oddFooter>&amp;L_x000D_&amp;1#&amp;"Arial"&amp;10&amp;K000000 Capita – Confidential INTERNAL</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b241e832-53e4-472d-80e8-3659bab3df51">
      <Terms xmlns="http://schemas.microsoft.com/office/infopath/2007/PartnerControls"/>
    </lcf76f155ced4ddcb4097134ff3c332f>
    <TaxCatchAll xmlns="5bc750e8-956a-4020-82dc-5fa648319e8a" xsi:nil="true"/>
    <Commentary xmlns="b241e832-53e4-472d-80e8-3659bab3df51" xsi:nil="true"/>
    <_Flow_SignoffStatus xmlns="b241e832-53e4-472d-80e8-3659bab3df51" xsi:nil="true"/>
    <Done xmlns="b241e832-53e4-472d-80e8-3659bab3df51"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F49017120009A549A099ED8F85385CF1" ma:contentTypeVersion="18" ma:contentTypeDescription="Create a new document." ma:contentTypeScope="" ma:versionID="2a1e38803d43deef4a0e5cf863aad8f5">
  <xsd:schema xmlns:xsd="http://www.w3.org/2001/XMLSchema" xmlns:xs="http://www.w3.org/2001/XMLSchema" xmlns:p="http://schemas.microsoft.com/office/2006/metadata/properties" xmlns:ns2="b241e832-53e4-472d-80e8-3659bab3df51" xmlns:ns3="5bc750e8-956a-4020-82dc-5fa648319e8a" targetNamespace="http://schemas.microsoft.com/office/2006/metadata/properties" ma:root="true" ma:fieldsID="a13f622e9316cce4c29617ead4679fab" ns2:_="" ns3:_="">
    <xsd:import namespace="b241e832-53e4-472d-80e8-3659bab3df51"/>
    <xsd:import namespace="5bc750e8-956a-4020-82dc-5fa648319e8a"/>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SearchProperties" minOccurs="0"/>
                <xsd:element ref="ns2:MediaServiceDateTaken" minOccurs="0"/>
                <xsd:element ref="ns2:MediaLengthInSeconds" minOccurs="0"/>
                <xsd:element ref="ns2:Commentary" minOccurs="0"/>
                <xsd:element ref="ns2:MediaServiceLocation" minOccurs="0"/>
                <xsd:element ref="ns2:_Flow_SignoffStatus" minOccurs="0"/>
                <xsd:element ref="ns2:Don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241e832-53e4-472d-80e8-3659bab3df5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f242fb91-79a5-4b93-8a08-4d9fe80d6a61"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Commentary" ma:index="22" nillable="true" ma:displayName="Commentary" ma:format="Dropdown" ma:internalName="Commentary">
      <xsd:simpleType>
        <xsd:restriction base="dms:Note">
          <xsd:maxLength value="255"/>
        </xsd:restriction>
      </xsd:simpleType>
    </xsd:element>
    <xsd:element name="MediaServiceLocation" ma:index="23" nillable="true" ma:displayName="Location" ma:indexed="true" ma:internalName="MediaServiceLocation" ma:readOnly="true">
      <xsd:simpleType>
        <xsd:restriction base="dms:Text"/>
      </xsd:simpleType>
    </xsd:element>
    <xsd:element name="_Flow_SignoffStatus" ma:index="24" nillable="true" ma:displayName="Sign-off status" ma:internalName="_x0024_Resources_x003a_core_x002c_Signoff_Status">
      <xsd:simpleType>
        <xsd:restriction base="dms:Text"/>
      </xsd:simpleType>
    </xsd:element>
    <xsd:element name="Done" ma:index="25" nillable="true" ma:displayName="Done" ma:format="Dropdown" ma:internalName="Done">
      <xsd:simpleType>
        <xsd:union memberTypes="dms:Text">
          <xsd:simpleType>
            <xsd:restriction base="dms:Choice">
              <xsd:enumeration value="Yes"/>
              <xsd:enumeration value="No"/>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5bc750e8-956a-4020-82dc-5fa648319e8a"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15" nillable="true" ma:displayName="Taxonomy Catch All Column" ma:hidden="true" ma:list="{709b1007-7998-47f2-8297-c6e9b43e3806}" ma:internalName="TaxCatchAll" ma:showField="CatchAllData" ma:web="5bc750e8-956a-4020-82dc-5fa648319e8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697602C-CD8E-4D98-BFA9-DC16AEF8C1C0}">
  <ds:schemaRefs>
    <ds:schemaRef ds:uri="http://schemas.microsoft.com/office/2006/metadata/properties"/>
    <ds:schemaRef ds:uri="http://schemas.microsoft.com/office/infopath/2007/PartnerControls"/>
    <ds:schemaRef ds:uri="b241e832-53e4-472d-80e8-3659bab3df51"/>
    <ds:schemaRef ds:uri="5bc750e8-956a-4020-82dc-5fa648319e8a"/>
  </ds:schemaRefs>
</ds:datastoreItem>
</file>

<file path=customXml/itemProps2.xml><?xml version="1.0" encoding="utf-8"?>
<ds:datastoreItem xmlns:ds="http://schemas.openxmlformats.org/officeDocument/2006/customXml" ds:itemID="{D56D005E-1E6A-4690-A17A-6741D5BCEE43}">
  <ds:schemaRefs>
    <ds:schemaRef ds:uri="http://schemas.microsoft.com/sharepoint/v3/contenttype/forms"/>
  </ds:schemaRefs>
</ds:datastoreItem>
</file>

<file path=customXml/itemProps3.xml><?xml version="1.0" encoding="utf-8"?>
<ds:datastoreItem xmlns:ds="http://schemas.openxmlformats.org/officeDocument/2006/customXml" ds:itemID="{3907F8FB-1B3D-466A-AD69-307AD2DE7E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241e832-53e4-472d-80e8-3659bab3df51"/>
    <ds:schemaRef ds:uri="5bc750e8-956a-4020-82dc-5fa648319e8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b862b4fa-6862-4600-963c-cc87cec1c85f}" enabled="1" method="Standard" siteId="{1edaad83-b2ef-483d-81f1-2c48682f40ec}" contentBits="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Enter your details here</vt:lpstr>
      <vt:lpstr>Your Results</vt:lpstr>
      <vt:lpstr>Workings</vt:lpstr>
      <vt:lpstr>Sheet1</vt:lpstr>
      <vt:lpstr>'Your Results'!Print_Area</vt:lpstr>
    </vt:vector>
  </TitlesOfParts>
  <Company>Cabinet Office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Julia Wood</dc:creator>
  <cp:lastModifiedBy>Patel, Janiv (Capita Experience Pension Solutions)</cp:lastModifiedBy>
  <cp:lastPrinted>2007-12-14T10:32:42Z</cp:lastPrinted>
  <dcterms:created xsi:type="dcterms:W3CDTF">2007-11-02T17:28:52Z</dcterms:created>
  <dcterms:modified xsi:type="dcterms:W3CDTF">2025-11-25T17:07:09Z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0x010100F49017120009A549A099ED8F85385CF1</vt:lpwstr>
  </property>
</Properties>
</file>