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120" windowHeight="8535" activeTab="2"/>
  </bookViews>
  <sheets>
    <sheet name="inputs and results" sheetId="1" r:id="rId1"/>
    <sheet name="workings" sheetId="2" state="hidden" r:id="rId2"/>
    <sheet name="questionnaire" sheetId="3" r:id="rId3"/>
  </sheets>
  <definedNames>
    <definedName name="_xlnm.Print_Area" localSheetId="2">'questionnaire'!$A$1:$S$66</definedName>
  </definedNames>
  <calcPr fullCalcOnLoad="1"/>
</workbook>
</file>

<file path=xl/comments2.xml><?xml version="1.0" encoding="utf-8"?>
<comments xmlns="http://schemas.openxmlformats.org/spreadsheetml/2006/main">
  <authors>
    <author>Julia Wood</author>
  </authors>
  <commentList>
    <comment ref="A34" authorId="0">
      <text>
        <r>
          <rPr>
            <b/>
            <sz val="8"/>
            <rFont val="Tahoma"/>
            <family val="0"/>
          </rPr>
          <t>Julia Wood:</t>
        </r>
        <r>
          <rPr>
            <sz val="8"/>
            <rFont val="Tahoma"/>
            <family val="0"/>
          </rPr>
          <t xml:space="preserve">
this category is just for by-analogy people</t>
        </r>
      </text>
    </comment>
    <comment ref="B22" authorId="0">
      <text>
        <r>
          <rPr>
            <b/>
            <sz val="8"/>
            <rFont val="Tahoma"/>
            <family val="0"/>
          </rPr>
          <t>Julia Wood:</t>
        </r>
        <r>
          <rPr>
            <sz val="8"/>
            <rFont val="Tahoma"/>
            <family val="0"/>
          </rPr>
          <t xml:space="preserve">
if pension in payment (unless partnership).  Message not shown if being treated as short break person.</t>
        </r>
      </text>
    </comment>
    <comment ref="B23" authorId="0">
      <text>
        <r>
          <rPr>
            <b/>
            <sz val="8"/>
            <rFont val="Tahoma"/>
            <family val="0"/>
          </rPr>
          <t>Julia Wood:</t>
        </r>
        <r>
          <rPr>
            <sz val="8"/>
            <rFont val="Tahoma"/>
            <family val="0"/>
          </rPr>
          <t xml:space="preserve">
If pension in payment and aged under 50 (unless IHR)</t>
        </r>
      </text>
    </comment>
    <comment ref="B24" authorId="0">
      <text>
        <r>
          <rPr>
            <b/>
            <sz val="8"/>
            <rFont val="Tahoma"/>
            <family val="0"/>
          </rPr>
          <t>Julia Wood:</t>
        </r>
        <r>
          <rPr>
            <sz val="8"/>
            <rFont val="Tahoma"/>
            <family val="0"/>
          </rPr>
          <t xml:space="preserve">
by-analogy transfer; less than 28 days</t>
        </r>
      </text>
    </comment>
    <comment ref="B25" authorId="0">
      <text>
        <r>
          <rPr>
            <b/>
            <sz val="8"/>
            <rFont val="Tahoma"/>
            <family val="0"/>
          </rPr>
          <t>Julia Wood:</t>
        </r>
        <r>
          <rPr>
            <sz val="8"/>
            <rFont val="Tahoma"/>
            <family val="0"/>
          </rPr>
          <t xml:space="preserve">
text reflects under or over 12 months.  Used in c3</t>
        </r>
      </text>
    </comment>
    <comment ref="B26" authorId="0">
      <text>
        <r>
          <rPr>
            <b/>
            <sz val="8"/>
            <rFont val="Tahoma"/>
            <family val="0"/>
          </rPr>
          <t>Julia Wood:</t>
        </r>
        <r>
          <rPr>
            <sz val="8"/>
            <rFont val="Tahoma"/>
            <family val="0"/>
          </rPr>
          <t xml:space="preserve">
partnership rejoiners with less than 28 day break</t>
        </r>
      </text>
    </comment>
    <comment ref="C12" authorId="0">
      <text>
        <r>
          <rPr>
            <b/>
            <sz val="8"/>
            <rFont val="Tahoma"/>
            <family val="0"/>
          </rPr>
          <t>Julia Wood:</t>
        </r>
        <r>
          <rPr>
            <sz val="8"/>
            <rFont val="Tahoma"/>
            <family val="0"/>
          </rPr>
          <t xml:space="preserve">
reason revised to age retirement if pension now in payment (unless partnership)</t>
        </r>
      </text>
    </comment>
    <comment ref="B45" authorId="0">
      <text>
        <r>
          <rPr>
            <b/>
            <sz val="8"/>
            <rFont val="Tahoma"/>
            <family val="0"/>
          </rPr>
          <t>Julia Wood:</t>
        </r>
        <r>
          <rPr>
            <sz val="8"/>
            <rFont val="Tahoma"/>
            <family val="0"/>
          </rPr>
          <t xml:space="preserve">
Tests if pension not in payment when it expects it to be.</t>
        </r>
      </text>
    </comment>
    <comment ref="A48" authorId="0">
      <text>
        <r>
          <rPr>
            <b/>
            <sz val="8"/>
            <rFont val="Tahoma"/>
            <family val="0"/>
          </rPr>
          <t>Julia Wood:</t>
        </r>
        <r>
          <rPr>
            <sz val="8"/>
            <rFont val="Tahoma"/>
            <family val="0"/>
          </rPr>
          <t xml:space="preserve">
text shown here appears on input screen until a rejoining date is entered</t>
        </r>
      </text>
    </comment>
    <comment ref="A49" authorId="0">
      <text>
        <r>
          <rPr>
            <b/>
            <sz val="8"/>
            <rFont val="Tahoma"/>
            <family val="0"/>
          </rPr>
          <t>Julia Wood:</t>
        </r>
        <r>
          <rPr>
            <sz val="8"/>
            <rFont val="Tahoma"/>
            <family val="0"/>
          </rPr>
          <t xml:space="preserve">
Text for input screen if rejoining date is before 30 July 07</t>
        </r>
      </text>
    </comment>
    <comment ref="B19" authorId="0">
      <text>
        <r>
          <rPr>
            <b/>
            <sz val="8"/>
            <rFont val="Tahoma"/>
            <family val="0"/>
          </rPr>
          <t>Julia Wood:</t>
        </r>
        <r>
          <rPr>
            <sz val="8"/>
            <rFont val="Tahoma"/>
            <family val="0"/>
          </rPr>
          <t xml:space="preserve">
partnership pension account included as "new" as these people not permitted to go back into final salary.</t>
        </r>
      </text>
    </comment>
  </commentList>
</comments>
</file>

<file path=xl/sharedStrings.xml><?xml version="1.0" encoding="utf-8"?>
<sst xmlns="http://schemas.openxmlformats.org/spreadsheetml/2006/main" count="306" uniqueCount="191">
  <si>
    <t>Name</t>
  </si>
  <si>
    <t>Date of birth</t>
  </si>
  <si>
    <t>When did they leave?</t>
  </si>
  <si>
    <t>Why did they leave?</t>
  </si>
  <si>
    <t>age retirement</t>
  </si>
  <si>
    <t>early retirement (FER or CER)</t>
  </si>
  <si>
    <t>early retirement (AER or ARR)</t>
  </si>
  <si>
    <t>severance (cash compensation)</t>
  </si>
  <si>
    <t>"reserved rights" severance</t>
  </si>
  <si>
    <t>Which pension scheme?</t>
  </si>
  <si>
    <t>pre-2002</t>
  </si>
  <si>
    <t>classic</t>
  </si>
  <si>
    <t>premium</t>
  </si>
  <si>
    <t>classic plus</t>
  </si>
  <si>
    <t>DOB</t>
  </si>
  <si>
    <t>When are they rejoining?</t>
  </si>
  <si>
    <t>rejoining date</t>
  </si>
  <si>
    <t>leaving date</t>
  </si>
  <si>
    <t>age on leaving</t>
  </si>
  <si>
    <t>age on rejoining</t>
  </si>
  <si>
    <t>gap (years)</t>
  </si>
  <si>
    <t>scheme</t>
  </si>
  <si>
    <t>reason</t>
  </si>
  <si>
    <t>Short break</t>
  </si>
  <si>
    <t>no break</t>
  </si>
  <si>
    <t>years</t>
  </si>
  <si>
    <t>days</t>
  </si>
  <si>
    <t>type of break</t>
  </si>
  <si>
    <t>Long</t>
  </si>
  <si>
    <t>Short</t>
  </si>
  <si>
    <t>None</t>
  </si>
  <si>
    <t>pre-2002, classic, classic plus, premium</t>
  </si>
  <si>
    <t>exit</t>
  </si>
  <si>
    <t>ill-health retirement - lower tier</t>
  </si>
  <si>
    <t>ill-health retirement - upper tier</t>
  </si>
  <si>
    <t>ill-health retirement - classic</t>
  </si>
  <si>
    <t>a</t>
  </si>
  <si>
    <t>c</t>
  </si>
  <si>
    <t>b</t>
  </si>
  <si>
    <t>a1</t>
  </si>
  <si>
    <t>c1</t>
  </si>
  <si>
    <t>x</t>
  </si>
  <si>
    <t>c2</t>
  </si>
  <si>
    <t>n</t>
  </si>
  <si>
    <t>scheme type</t>
  </si>
  <si>
    <t>old or new</t>
  </si>
  <si>
    <t>outcome</t>
  </si>
  <si>
    <t>2=long, 3=short, 4=none</t>
  </si>
  <si>
    <t>d</t>
  </si>
  <si>
    <t>text</t>
  </si>
  <si>
    <t>partnership (2007)</t>
  </si>
  <si>
    <t>partnership (pre July 07)</t>
  </si>
  <si>
    <t>dd/mm/yy</t>
  </si>
  <si>
    <t>drop-down list</t>
  </si>
  <si>
    <t>Name of former employer</t>
  </si>
  <si>
    <t>Pension/ACP in payment?</t>
  </si>
  <si>
    <t>yes</t>
  </si>
  <si>
    <t>no</t>
  </si>
  <si>
    <t>pension in pyt</t>
  </si>
  <si>
    <t>extra</t>
  </si>
  <si>
    <t>NINO</t>
  </si>
  <si>
    <t>Your name</t>
  </si>
  <si>
    <t>Your National Insurance Number</t>
  </si>
  <si>
    <t>Your date of birth</t>
  </si>
  <si>
    <t>Which pension scheme were you in?</t>
  </si>
  <si>
    <r>
      <t xml:space="preserve">PCSPS </t>
    </r>
    <r>
      <rPr>
        <sz val="8"/>
        <rFont val="Arial"/>
        <family val="2"/>
      </rPr>
      <t>(left before October 2002)</t>
    </r>
  </si>
  <si>
    <t>none of the above</t>
  </si>
  <si>
    <t>z</t>
  </si>
  <si>
    <t>Talk to the member to get further information</t>
  </si>
  <si>
    <t>Are you currently receiving a Civil Service pension or an Annual Compensation Payment?</t>
  </si>
  <si>
    <t>revised reason</t>
  </si>
  <si>
    <t>extra2</t>
  </si>
  <si>
    <t>IHR</t>
  </si>
  <si>
    <t>Pension paid at or after your normal pension age</t>
  </si>
  <si>
    <t>The special exit package for those with 1987 "reserved rights"</t>
  </si>
  <si>
    <t>When are you starting work?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</si>
  <si>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</si>
  <si>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</si>
  <si>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</si>
  <si>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</si>
  <si>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</si>
  <si>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</si>
  <si>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</si>
  <si>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</si>
  <si>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</si>
  <si>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Date</t>
  </si>
  <si>
    <t>Member is not eligible to join pension scheme while receiving upper-tier ill health pension.  Print this page and send this case to your APAC for review.</t>
  </si>
  <si>
    <t>Actions for employer</t>
  </si>
  <si>
    <t xml:space="preserve">a service of </t>
  </si>
  <si>
    <t>Declaration</t>
  </si>
  <si>
    <t>I believe that the information I have provided on this form is correct</t>
  </si>
  <si>
    <t>Pension paid before normal pension age, but not enhanced</t>
  </si>
  <si>
    <t>Q10</t>
  </si>
  <si>
    <t>please complete the Declaration below and return the form to us</t>
  </si>
  <si>
    <t xml:space="preserve">Please complete this questionnaire and return it as soon as possible so that we can tell you what pension arrangements will be available to you. </t>
  </si>
  <si>
    <t>Signed</t>
  </si>
  <si>
    <t>Why did you leave?</t>
  </si>
  <si>
    <t>This is the "standard" ill-health retirement before the 2002 changes</t>
  </si>
  <si>
    <t>You may have left with an "Annual Compensation Payment" or a pension</t>
  </si>
  <si>
    <t>Starter pack</t>
  </si>
  <si>
    <t>LOA text</t>
  </si>
  <si>
    <t>Letter of Appointment Text</t>
  </si>
  <si>
    <t>Not applicable</t>
  </si>
  <si>
    <t>NE1</t>
  </si>
  <si>
    <t>Which Starter Pack?</t>
  </si>
  <si>
    <t>Things to beware of</t>
  </si>
  <si>
    <t>novus</t>
  </si>
  <si>
    <t>validation1</t>
  </si>
  <si>
    <t>validation2</t>
  </si>
  <si>
    <t>You built up pension rights, but left before drawing them</t>
  </si>
  <si>
    <r>
      <t xml:space="preserve">ill-health retirement - </t>
    </r>
    <r>
      <rPr>
        <b/>
        <sz val="10"/>
        <rFont val="Arial"/>
        <family val="2"/>
      </rPr>
      <t>classic</t>
    </r>
    <r>
      <rPr>
        <sz val="10"/>
        <rFont val="Arial"/>
        <family val="0"/>
      </rPr>
      <t>/pre 2002</t>
    </r>
  </si>
  <si>
    <t>Redundancy or exit package typically given to the under 50s</t>
  </si>
  <si>
    <t>Civil Service?</t>
  </si>
  <si>
    <t>By-analogy?</t>
  </si>
  <si>
    <t>Q11</t>
  </si>
  <si>
    <t>by-analogy</t>
  </si>
  <si>
    <t>extra3</t>
  </si>
  <si>
    <t>c3</t>
  </si>
  <si>
    <t>Appointment</t>
  </si>
  <si>
    <t>permanent</t>
  </si>
  <si>
    <t>fixed term - more than 12 months</t>
  </si>
  <si>
    <t>fixed term - less than 12 months</t>
  </si>
  <si>
    <t>casual</t>
  </si>
  <si>
    <t>appointment</t>
  </si>
  <si>
    <t>G</t>
  </si>
  <si>
    <t>extra4</t>
  </si>
  <si>
    <r>
      <t xml:space="preserve">Member has had short break and has option of </t>
    </r>
    <r>
      <rPr>
        <b/>
        <sz val="10"/>
        <rFont val="Arial"/>
        <family val="2"/>
      </rPr>
      <t>premium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partnership.</t>
    </r>
    <r>
      <rPr>
        <sz val="10"/>
        <rFont val="Arial"/>
        <family val="0"/>
      </rPr>
      <t xml:space="preserve">  Auto-enrol into </t>
    </r>
    <r>
      <rPr>
        <b/>
        <sz val="10"/>
        <rFont val="Arial"/>
        <family val="2"/>
      </rPr>
      <t>premium.</t>
    </r>
  </si>
  <si>
    <t>Q12</t>
  </si>
  <si>
    <t>please complete Q6 to Q12 overleaf</t>
  </si>
  <si>
    <t>please complete questions Q6 to Q12 overleaf</t>
  </si>
  <si>
    <t>b-a no break</t>
  </si>
  <si>
    <t>Which provider?</t>
  </si>
  <si>
    <t>extra5</t>
  </si>
  <si>
    <t>Standard Life</t>
  </si>
  <si>
    <t>Scottish Widows</t>
  </si>
  <si>
    <t>TUC/Prudential</t>
  </si>
  <si>
    <r>
      <t xml:space="preserve">partnership provider </t>
    </r>
    <r>
      <rPr>
        <i/>
        <sz val="10"/>
        <rFont val="Arial"/>
        <family val="2"/>
      </rPr>
      <t>(if applicable)</t>
    </r>
  </si>
  <si>
    <t>Please complete if you have been a member of the Civil Service Pension arrangements before or if you were in a by-analogy scheme</t>
  </si>
  <si>
    <t>The date you left this employer</t>
  </si>
  <si>
    <r>
      <t>▪</t>
    </r>
    <r>
      <rPr>
        <i/>
        <sz val="10"/>
        <rFont val="Arial"/>
        <family val="2"/>
      </rPr>
      <t xml:space="preserve"> If you "opted out", choose the scheme you opted out of</t>
    </r>
  </si>
  <si>
    <t xml:space="preserve">You probably had your contributions refunded </t>
  </si>
  <si>
    <t>Flexible or compulsory early retirement</t>
  </si>
  <si>
    <t>Approved or actuarially reduced early retirement</t>
  </si>
  <si>
    <t>Retired and took pension</t>
  </si>
  <si>
    <t xml:space="preserve">Now please complete the Declaration on the previous page and return the form to us </t>
  </si>
  <si>
    <t>please carry on to Q5 below</t>
  </si>
  <si>
    <t>nuvos</t>
  </si>
  <si>
    <r>
      <t xml:space="preserve">"lower tier" applies to </t>
    </r>
    <r>
      <rPr>
        <b/>
        <i/>
        <sz val="10"/>
        <rFont val="Arial"/>
        <family val="2"/>
      </rPr>
      <t>premium</t>
    </r>
    <r>
      <rPr>
        <i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classic plus</t>
    </r>
    <r>
      <rPr>
        <i/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nuvos</t>
    </r>
  </si>
  <si>
    <r>
      <t xml:space="preserve">"upper tier" applies to </t>
    </r>
    <r>
      <rPr>
        <b/>
        <i/>
        <sz val="10"/>
        <rFont val="Arial"/>
        <family val="2"/>
      </rPr>
      <t>premium,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classic plus</t>
    </r>
    <r>
      <rPr>
        <i/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nuvos</t>
    </r>
  </si>
  <si>
    <t xml:space="preserve">     When completed, please send this form to :</t>
  </si>
  <si>
    <t>severance (cash compensation) or dismissed (inefficiency / misconduct)</t>
  </si>
  <si>
    <t xml:space="preserve">This calculator will help you determine which pension scheme a rejoiner is eligible for.  Do not use this calculator for anyone who has not worked for the Civil Service before; they will be eligible for nuvos/partnership.  Fill in the blue boxes and follow the instructions in the yellow boxes. </t>
  </si>
  <si>
    <t>Member has no break in service - rejoins their previous scheme.  Any compensation paid is repayable immediately and any early retirement pension (or ACP) must be cancelled</t>
  </si>
  <si>
    <r>
      <t xml:space="preserve">Member will have choice of </t>
    </r>
    <r>
      <rPr>
        <b/>
        <sz val="10"/>
        <rFont val="Arial"/>
        <family val="2"/>
      </rPr>
      <t>nuvos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partnership</t>
    </r>
    <r>
      <rPr>
        <sz val="10"/>
        <rFont val="Arial"/>
        <family val="2"/>
      </rPr>
      <t xml:space="preserve">.  Auto-enrol into </t>
    </r>
    <r>
      <rPr>
        <b/>
        <sz val="10"/>
        <rFont val="Arial"/>
        <family val="2"/>
      </rPr>
      <t>nuvos</t>
    </r>
    <r>
      <rPr>
        <sz val="10"/>
        <rFont val="Arial"/>
        <family val="2"/>
      </rPr>
      <t>.</t>
    </r>
  </si>
  <si>
    <r>
      <t xml:space="preserve">This scenario is not applicable to someone who has left </t>
    </r>
    <r>
      <rPr>
        <b/>
        <sz val="10"/>
        <rFont val="Arial"/>
        <family val="2"/>
      </rPr>
      <t>nuvos.</t>
    </r>
    <r>
      <rPr>
        <sz val="10"/>
        <rFont val="Arial"/>
        <family val="0"/>
      </rPr>
      <t xml:space="preserve">  Please check.</t>
    </r>
  </si>
  <si>
    <t>beware text</t>
  </si>
  <si>
    <r>
      <t xml:space="preserve">Member entitled to choice of </t>
    </r>
    <r>
      <rPr>
        <b/>
        <sz val="10"/>
        <rFont val="Arial"/>
        <family val="2"/>
      </rPr>
      <t>nuvos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partnership.</t>
    </r>
    <r>
      <rPr>
        <sz val="10"/>
        <rFont val="Arial"/>
        <family val="0"/>
      </rPr>
      <t xml:space="preserve">  Auto-enrol into </t>
    </r>
    <r>
      <rPr>
        <b/>
        <sz val="10"/>
        <rFont val="Arial"/>
        <family val="2"/>
      </rPr>
      <t>nuvos</t>
    </r>
    <r>
      <rPr>
        <sz val="10"/>
        <rFont val="Arial"/>
        <family val="2"/>
      </rPr>
      <t>.</t>
    </r>
  </si>
  <si>
    <t>H</t>
  </si>
  <si>
    <t>A</t>
  </si>
  <si>
    <t>RJP</t>
  </si>
  <si>
    <t>partnership</t>
  </si>
  <si>
    <t>today</t>
  </si>
  <si>
    <t>age now</t>
  </si>
  <si>
    <t>Have you ever been a member of the Civil Service pension arrangements?</t>
  </si>
  <si>
    <t>Are you currently a member of a pension scheme "by-analogy" to the Civil Service?</t>
  </si>
  <si>
    <t>"formal retirement"</t>
  </si>
  <si>
    <t>extra6</t>
  </si>
  <si>
    <t>N/A</t>
  </si>
  <si>
    <t>f</t>
  </si>
  <si>
    <t>Date check for formal retirement</t>
  </si>
  <si>
    <t>resigned/end of FTA:  &gt; 2 years service</t>
  </si>
  <si>
    <t>resigned/end of FTA: &lt; 2 years service</t>
  </si>
  <si>
    <r>
      <t>partnership</t>
    </r>
    <r>
      <rPr>
        <sz val="8"/>
        <rFont val="Arial"/>
        <family val="2"/>
      </rPr>
      <t xml:space="preserve"> (joined before 30 July 07)</t>
    </r>
  </si>
  <si>
    <r>
      <t>partnership</t>
    </r>
    <r>
      <rPr>
        <sz val="8"/>
        <rFont val="Arial"/>
        <family val="2"/>
      </rPr>
      <t xml:space="preserve"> (joined after 29 July 07)</t>
    </r>
  </si>
  <si>
    <t>"formal retirement"/"different capacity"</t>
  </si>
  <si>
    <t>New entrant and rejoiner pension questionnaire</t>
  </si>
  <si>
    <t xml:space="preserve"> www.civilservice-pensions.gov.uk/facts_and_figures.aspx</t>
  </si>
  <si>
    <t>Who was your employer when you were in the CSP arrangements?</t>
  </si>
  <si>
    <t>When date did you leave?</t>
  </si>
  <si>
    <t>What type of pension arrangements</t>
  </si>
  <si>
    <r>
      <t xml:space="preserve">were you in? </t>
    </r>
    <r>
      <rPr>
        <i/>
        <sz val="10"/>
        <rFont val="Arial"/>
        <family val="2"/>
      </rPr>
      <t>Choose one option only</t>
    </r>
  </si>
  <si>
    <t>▪ Please tick one box only</t>
  </si>
  <si>
    <t xml:space="preserve">▪ Please tick one box only </t>
  </si>
  <si>
    <r>
      <t xml:space="preserve">▪ </t>
    </r>
    <r>
      <rPr>
        <i/>
        <sz val="10"/>
        <rFont val="Arial"/>
        <family val="2"/>
      </rPr>
      <t>If you were in a by-analogy scheme, please tick the by-analogy equivalent</t>
    </r>
  </si>
  <si>
    <t>resigned/end of fixed term appointment - with more than 2 years' service</t>
  </si>
  <si>
    <t>resigned/end of fixed term appointment - with less than 2 years' service</t>
  </si>
  <si>
    <t xml:space="preserve">Please explain why you left on a separate piece of paper </t>
  </si>
  <si>
    <t xml:space="preserve">Pension choices for new entrants and rejoiners </t>
  </si>
  <si>
    <t xml:space="preserve"> (A list of by-analogy schemes can be found on our website via the link below) </t>
  </si>
  <si>
    <t>(NHS, Teacher and Local Government pension schemes are excluded)</t>
  </si>
  <si>
    <t>Version May 2008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</si>
</sst>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4" fontId="0" fillId="34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13" fillId="34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14" fillId="0" borderId="0" xfId="53" applyFont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9" fillId="35" borderId="14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14" fontId="0" fillId="34" borderId="14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pgarner\Local Settings\Temporary Internet Files\My Documents\::::Desktop Folder:Cab Office:Cabinet Office type mono.tif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0</xdr:rowOff>
    </xdr:from>
    <xdr:to>
      <xdr:col>6</xdr:col>
      <xdr:colOff>485775</xdr:colOff>
      <xdr:row>2</xdr:row>
      <xdr:rowOff>9525</xdr:rowOff>
    </xdr:to>
    <xdr:pic>
      <xdr:nvPicPr>
        <xdr:cNvPr id="1" name="Picture 13" descr="C:\Documents and Settings\pgarner\Local Settings\Temporary Internet Files\My Documents\::::Desktop Folder:Cab Office:Cabinet Office type mon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29275" y="16192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1514475</xdr:colOff>
      <xdr:row>2</xdr:row>
      <xdr:rowOff>9525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1895475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15</xdr:row>
      <xdr:rowOff>190500</xdr:rowOff>
    </xdr:from>
    <xdr:to>
      <xdr:col>7</xdr:col>
      <xdr:colOff>228600</xdr:colOff>
      <xdr:row>15</xdr:row>
      <xdr:rowOff>190500</xdr:rowOff>
    </xdr:to>
    <xdr:sp>
      <xdr:nvSpPr>
        <xdr:cNvPr id="2" name="Line 4"/>
        <xdr:cNvSpPr>
          <a:spLocks/>
        </xdr:cNvSpPr>
      </xdr:nvSpPr>
      <xdr:spPr>
        <a:xfrm>
          <a:off x="3390900" y="3333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17</xdr:row>
      <xdr:rowOff>171450</xdr:rowOff>
    </xdr:from>
    <xdr:to>
      <xdr:col>8</xdr:col>
      <xdr:colOff>0</xdr:colOff>
      <xdr:row>17</xdr:row>
      <xdr:rowOff>171450</xdr:rowOff>
    </xdr:to>
    <xdr:sp>
      <xdr:nvSpPr>
        <xdr:cNvPr id="3" name="Line 5"/>
        <xdr:cNvSpPr>
          <a:spLocks/>
        </xdr:cNvSpPr>
      </xdr:nvSpPr>
      <xdr:spPr>
        <a:xfrm>
          <a:off x="3409950" y="3686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1743075</xdr:colOff>
      <xdr:row>65</xdr:row>
      <xdr:rowOff>228600</xdr:rowOff>
    </xdr:from>
    <xdr:to>
      <xdr:col>1</xdr:col>
      <xdr:colOff>2209800</xdr:colOff>
      <xdr:row>65</xdr:row>
      <xdr:rowOff>228600</xdr:rowOff>
    </xdr:to>
    <xdr:sp>
      <xdr:nvSpPr>
        <xdr:cNvPr id="4" name="Line 7"/>
        <xdr:cNvSpPr>
          <a:spLocks/>
        </xdr:cNvSpPr>
      </xdr:nvSpPr>
      <xdr:spPr>
        <a:xfrm>
          <a:off x="2038350" y="13820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23</xdr:row>
      <xdr:rowOff>133350</xdr:rowOff>
    </xdr:from>
    <xdr:to>
      <xdr:col>7</xdr:col>
      <xdr:colOff>238125</xdr:colOff>
      <xdr:row>23</xdr:row>
      <xdr:rowOff>133350</xdr:rowOff>
    </xdr:to>
    <xdr:sp>
      <xdr:nvSpPr>
        <xdr:cNvPr id="5" name="Line 8"/>
        <xdr:cNvSpPr>
          <a:spLocks/>
        </xdr:cNvSpPr>
      </xdr:nvSpPr>
      <xdr:spPr>
        <a:xfrm>
          <a:off x="3400425" y="4752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21</xdr:row>
      <xdr:rowOff>133350</xdr:rowOff>
    </xdr:from>
    <xdr:to>
      <xdr:col>7</xdr:col>
      <xdr:colOff>238125</xdr:colOff>
      <xdr:row>21</xdr:row>
      <xdr:rowOff>133350</xdr:rowOff>
    </xdr:to>
    <xdr:sp>
      <xdr:nvSpPr>
        <xdr:cNvPr id="6" name="Line 9"/>
        <xdr:cNvSpPr>
          <a:spLocks/>
        </xdr:cNvSpPr>
      </xdr:nvSpPr>
      <xdr:spPr>
        <a:xfrm>
          <a:off x="3400425" y="4438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46</xdr:row>
      <xdr:rowOff>190500</xdr:rowOff>
    </xdr:from>
    <xdr:to>
      <xdr:col>15</xdr:col>
      <xdr:colOff>0</xdr:colOff>
      <xdr:row>47</xdr:row>
      <xdr:rowOff>142875</xdr:rowOff>
    </xdr:to>
    <xdr:sp>
      <xdr:nvSpPr>
        <xdr:cNvPr id="7" name="Line 10"/>
        <xdr:cNvSpPr>
          <a:spLocks/>
        </xdr:cNvSpPr>
      </xdr:nvSpPr>
      <xdr:spPr>
        <a:xfrm flipV="1">
          <a:off x="5210175" y="9782175"/>
          <a:ext cx="1066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45</xdr:row>
      <xdr:rowOff>133350</xdr:rowOff>
    </xdr:from>
    <xdr:to>
      <xdr:col>15</xdr:col>
      <xdr:colOff>9525</xdr:colOff>
      <xdr:row>46</xdr:row>
      <xdr:rowOff>95250</xdr:rowOff>
    </xdr:to>
    <xdr:sp>
      <xdr:nvSpPr>
        <xdr:cNvPr id="8" name="Line 11"/>
        <xdr:cNvSpPr>
          <a:spLocks/>
        </xdr:cNvSpPr>
      </xdr:nvSpPr>
      <xdr:spPr>
        <a:xfrm>
          <a:off x="5257800" y="9515475"/>
          <a:ext cx="1028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ivilservice-pensions.gov.uk/facts_and_figures.aspx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RowColHeaders="0" zoomScalePageLayoutView="0" workbookViewId="0" topLeftCell="A1">
      <selection activeCell="C2" sqref="C2"/>
    </sheetView>
  </sheetViews>
  <sheetFormatPr defaultColWidth="9.140625" defaultRowHeight="12.75"/>
  <cols>
    <col min="1" max="1" width="28.8515625" style="0" bestFit="1" customWidth="1"/>
    <col min="2" max="2" width="2.8515625" style="0" customWidth="1"/>
    <col min="3" max="3" width="34.00390625" style="0" customWidth="1"/>
    <col min="4" max="4" width="2.140625" style="0" customWidth="1"/>
    <col min="5" max="5" width="16.421875" style="0" customWidth="1"/>
    <col min="6" max="6" width="11.7109375" style="0" customWidth="1"/>
    <col min="7" max="7" width="29.28125" style="0" customWidth="1"/>
    <col min="8" max="8" width="41.421875" style="0" hidden="1" customWidth="1"/>
    <col min="9" max="9" width="10.140625" style="0" hidden="1" customWidth="1"/>
  </cols>
  <sheetData>
    <row r="1" ht="12.75">
      <c r="F1" s="10" t="s">
        <v>88</v>
      </c>
    </row>
    <row r="2" spans="1:3" ht="16.5" customHeight="1">
      <c r="A2" s="10"/>
      <c r="C2" s="8" t="s">
        <v>187</v>
      </c>
    </row>
    <row r="4" spans="1:11" ht="30" customHeight="1">
      <c r="A4" s="58" t="s">
        <v>151</v>
      </c>
      <c r="B4" s="59"/>
      <c r="C4" s="59"/>
      <c r="D4" s="59"/>
      <c r="E4" s="59"/>
      <c r="F4" s="59"/>
      <c r="G4" s="59"/>
      <c r="H4" s="59"/>
      <c r="I4" s="59"/>
      <c r="J4" s="60"/>
      <c r="K4" s="45"/>
    </row>
    <row r="6" spans="1:7" ht="12.75">
      <c r="A6" t="s">
        <v>0</v>
      </c>
      <c r="C6" s="21"/>
      <c r="F6" t="s">
        <v>60</v>
      </c>
      <c r="G6" s="21"/>
    </row>
    <row r="7" ht="5.25" customHeight="1">
      <c r="C7" s="22"/>
    </row>
    <row r="8" spans="1:8" ht="12.75">
      <c r="A8" t="s">
        <v>1</v>
      </c>
      <c r="C8" s="23"/>
      <c r="E8" s="6" t="s">
        <v>52</v>
      </c>
      <c r="F8" s="6"/>
      <c r="H8" t="s">
        <v>170</v>
      </c>
    </row>
    <row r="9" spans="3:8" ht="5.25" customHeight="1">
      <c r="C9" s="24"/>
      <c r="E9" s="6"/>
      <c r="F9" s="6"/>
      <c r="H9" t="s">
        <v>171</v>
      </c>
    </row>
    <row r="10" spans="1:8" ht="12.75">
      <c r="A10" t="s">
        <v>54</v>
      </c>
      <c r="C10" s="21"/>
      <c r="E10" s="6"/>
      <c r="F10" s="7" t="s">
        <v>113</v>
      </c>
      <c r="G10" s="9"/>
      <c r="H10" t="s">
        <v>5</v>
      </c>
    </row>
    <row r="11" spans="3:8" ht="5.25" customHeight="1">
      <c r="C11" s="25"/>
      <c r="E11" s="6"/>
      <c r="F11" s="6"/>
      <c r="H11" t="s">
        <v>6</v>
      </c>
    </row>
    <row r="12" spans="1:8" ht="12.75">
      <c r="A12" t="s">
        <v>2</v>
      </c>
      <c r="C12" s="23"/>
      <c r="E12" s="6" t="s">
        <v>52</v>
      </c>
      <c r="F12" s="6"/>
      <c r="H12" t="s">
        <v>4</v>
      </c>
    </row>
    <row r="13" spans="3:8" ht="5.25" customHeight="1">
      <c r="C13" s="24"/>
      <c r="E13" s="6"/>
      <c r="F13" s="6"/>
      <c r="H13" t="s">
        <v>33</v>
      </c>
    </row>
    <row r="14" spans="1:8" ht="12.75">
      <c r="A14" t="s">
        <v>9</v>
      </c>
      <c r="C14" s="21"/>
      <c r="E14" s="6" t="s">
        <v>53</v>
      </c>
      <c r="F14" s="16" t="e">
        <f>workings!C44</f>
        <v>#N/A</v>
      </c>
      <c r="G14" t="s">
        <v>136</v>
      </c>
      <c r="H14" t="s">
        <v>34</v>
      </c>
    </row>
    <row r="15" spans="3:8" ht="5.25" customHeight="1">
      <c r="C15" s="24"/>
      <c r="E15" s="6"/>
      <c r="F15" s="6"/>
      <c r="H15" t="s">
        <v>35</v>
      </c>
    </row>
    <row r="16" spans="1:8" ht="12.75">
      <c r="A16" t="s">
        <v>3</v>
      </c>
      <c r="C16" s="46"/>
      <c r="E16" s="6" t="s">
        <v>53</v>
      </c>
      <c r="F16" s="6"/>
      <c r="G16" s="9"/>
      <c r="H16" t="s">
        <v>7</v>
      </c>
    </row>
    <row r="17" spans="3:8" ht="5.25" customHeight="1">
      <c r="C17" s="24"/>
      <c r="E17" s="6"/>
      <c r="F17" s="6"/>
      <c r="H17" t="s">
        <v>8</v>
      </c>
    </row>
    <row r="18" spans="1:8" ht="12.75">
      <c r="A18" t="s">
        <v>55</v>
      </c>
      <c r="C18" s="21"/>
      <c r="D18" s="6"/>
      <c r="E18" s="6" t="s">
        <v>53</v>
      </c>
      <c r="F18" s="16" t="e">
        <f>workings!C45</f>
        <v>#N/A</v>
      </c>
      <c r="H18" t="s">
        <v>174</v>
      </c>
    </row>
    <row r="19" spans="3:8" ht="5.25" customHeight="1">
      <c r="C19" s="24"/>
      <c r="E19" s="6"/>
      <c r="F19" s="6"/>
      <c r="H19" t="s">
        <v>66</v>
      </c>
    </row>
    <row r="20" spans="1:8" ht="12.75">
      <c r="A20" t="s">
        <v>15</v>
      </c>
      <c r="C20" s="23"/>
      <c r="E20" s="6" t="s">
        <v>52</v>
      </c>
      <c r="F20" s="7" t="s">
        <v>118</v>
      </c>
      <c r="G20" s="9"/>
      <c r="H20" t="s">
        <v>10</v>
      </c>
    </row>
    <row r="21" spans="1:8" ht="12.75" customHeight="1">
      <c r="A21" s="16" t="str">
        <f>workings!A48</f>
        <v>You must enter this date</v>
      </c>
      <c r="C21" s="16" t="str">
        <f>workings!A49</f>
        <v>Do not use this calculator for rejoiners before 30 July 2007</v>
      </c>
      <c r="H21" t="s">
        <v>11</v>
      </c>
    </row>
    <row r="22" spans="1:8" ht="37.5" customHeight="1">
      <c r="A22" s="15" t="s">
        <v>87</v>
      </c>
      <c r="C22" s="51" t="e">
        <f>workings!B21</f>
        <v>#N/A</v>
      </c>
      <c r="D22" s="52"/>
      <c r="E22" s="52"/>
      <c r="F22" s="52"/>
      <c r="G22" s="53"/>
      <c r="H22" t="s">
        <v>12</v>
      </c>
    </row>
    <row r="23" spans="3:8" ht="5.25" customHeight="1">
      <c r="C23" s="17"/>
      <c r="D23" s="18"/>
      <c r="E23" s="18"/>
      <c r="F23" s="18"/>
      <c r="G23" s="19"/>
      <c r="H23" t="s">
        <v>13</v>
      </c>
    </row>
    <row r="24" spans="1:8" ht="42.75" customHeight="1">
      <c r="A24" s="15" t="s">
        <v>105</v>
      </c>
      <c r="C24" s="54" t="e">
        <f>workings!B47</f>
        <v>#N/A</v>
      </c>
      <c r="D24" s="55"/>
      <c r="E24" s="55"/>
      <c r="F24" s="55"/>
      <c r="G24" s="56"/>
      <c r="H24" t="s">
        <v>51</v>
      </c>
    </row>
    <row r="25" ht="4.5" customHeight="1">
      <c r="H25" t="s">
        <v>146</v>
      </c>
    </row>
    <row r="26" spans="1:8" ht="12.75">
      <c r="A26" s="5" t="s">
        <v>104</v>
      </c>
      <c r="C26" s="20" t="e">
        <f>workings!B41</f>
        <v>#N/A</v>
      </c>
      <c r="E26" s="57" t="s">
        <v>101</v>
      </c>
      <c r="F26" s="57"/>
      <c r="G26" s="20" t="e">
        <f>workings!B42</f>
        <v>#N/A</v>
      </c>
      <c r="H26" t="s">
        <v>50</v>
      </c>
    </row>
    <row r="27" ht="5.25" customHeight="1">
      <c r="C27" s="14"/>
    </row>
    <row r="28" spans="1:8" ht="12.75">
      <c r="A28" s="47" t="s">
        <v>190</v>
      </c>
      <c r="H28" t="s">
        <v>56</v>
      </c>
    </row>
    <row r="29" ht="12.75">
      <c r="H29" t="s">
        <v>57</v>
      </c>
    </row>
    <row r="31" spans="8:9" ht="12.75">
      <c r="H31" t="s">
        <v>119</v>
      </c>
      <c r="I31">
        <v>1</v>
      </c>
    </row>
    <row r="32" spans="8:9" ht="12.75">
      <c r="H32" t="s">
        <v>120</v>
      </c>
      <c r="I32">
        <v>2</v>
      </c>
    </row>
    <row r="33" spans="8:9" ht="12.75">
      <c r="H33" t="s">
        <v>121</v>
      </c>
      <c r="I33">
        <v>3</v>
      </c>
    </row>
    <row r="34" spans="8:9" ht="12.75">
      <c r="H34" t="s">
        <v>122</v>
      </c>
      <c r="I34">
        <v>4</v>
      </c>
    </row>
    <row r="35" ht="12.75">
      <c r="H35" t="s">
        <v>134</v>
      </c>
    </row>
    <row r="36" ht="12.75">
      <c r="H36" t="s">
        <v>133</v>
      </c>
    </row>
    <row r="37" ht="12.75">
      <c r="H37" t="s">
        <v>135</v>
      </c>
    </row>
  </sheetData>
  <sheetProtection password="8BA9" sheet="1" objects="1" scenarios="1"/>
  <mergeCells count="4">
    <mergeCell ref="C22:G22"/>
    <mergeCell ref="C24:G24"/>
    <mergeCell ref="E26:F26"/>
    <mergeCell ref="A4:J4"/>
  </mergeCells>
  <dataValidations count="8">
    <dataValidation type="date" allowBlank="1" showInputMessage="1" showErrorMessage="1" sqref="C8">
      <formula1>7306</formula1>
      <formula2>33239</formula2>
    </dataValidation>
    <dataValidation type="date" allowBlank="1" showInputMessage="1" showErrorMessage="1" sqref="C12">
      <formula1>26299</formula1>
      <formula2>40179</formula2>
    </dataValidation>
    <dataValidation type="date" allowBlank="1" showInputMessage="1" showErrorMessage="1" sqref="C20">
      <formula1>39264</formula1>
      <formula2>44196</formula2>
    </dataValidation>
    <dataValidation type="list" allowBlank="1" showInputMessage="1" showErrorMessage="1" sqref="C18 G10">
      <formula1>$H$28:$H$29</formula1>
    </dataValidation>
    <dataValidation type="list" allowBlank="1" showInputMessage="1" showErrorMessage="1" sqref="C14">
      <formula1>$H$20:$H$26</formula1>
    </dataValidation>
    <dataValidation type="list" allowBlank="1" showInputMessage="1" showErrorMessage="1" sqref="G20">
      <formula1>$H$31:$H$34</formula1>
    </dataValidation>
    <dataValidation type="list" allowBlank="1" showInputMessage="1" showErrorMessage="1" sqref="G16">
      <formula1>$H$35:$H$37</formula1>
    </dataValidation>
    <dataValidation type="list" allowBlank="1" showInputMessage="1" showErrorMessage="1" sqref="C16">
      <formula1>$H$8:$H$19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4.140625" style="0" bestFit="1" customWidth="1"/>
    <col min="2" max="2" width="15.421875" style="0" bestFit="1" customWidth="1"/>
    <col min="3" max="3" width="10.140625" style="0" bestFit="1" customWidth="1"/>
    <col min="6" max="6" width="10.140625" style="0" bestFit="1" customWidth="1"/>
    <col min="7" max="7" width="15.421875" style="0" customWidth="1"/>
    <col min="8" max="8" width="31.7109375" style="0" bestFit="1" customWidth="1"/>
    <col min="9" max="9" width="6.8515625" style="0" customWidth="1"/>
    <col min="10" max="10" width="3.8515625" style="0" customWidth="1"/>
    <col min="11" max="11" width="13.140625" style="0" customWidth="1"/>
    <col min="15" max="15" width="11.28125" style="0" customWidth="1"/>
  </cols>
  <sheetData>
    <row r="1" spans="1:12" ht="12.75">
      <c r="A1" t="s">
        <v>14</v>
      </c>
      <c r="B1" s="2">
        <f>'inputs and results'!C8</f>
        <v>0</v>
      </c>
      <c r="C1">
        <f>YEAR(B1)</f>
        <v>1900</v>
      </c>
      <c r="D1">
        <f>MONTH(B1)</f>
        <v>1</v>
      </c>
      <c r="E1">
        <f>DAY(B1)</f>
        <v>0</v>
      </c>
      <c r="H1" s="4" t="str">
        <f>'inputs and results'!H20</f>
        <v>pre-2002</v>
      </c>
      <c r="I1" s="4">
        <v>1</v>
      </c>
      <c r="K1" t="s">
        <v>119</v>
      </c>
      <c r="L1">
        <v>1</v>
      </c>
    </row>
    <row r="2" spans="1:12" ht="12.75">
      <c r="A2" t="s">
        <v>17</v>
      </c>
      <c r="B2" s="2">
        <f>'inputs and results'!C12</f>
        <v>0</v>
      </c>
      <c r="C2">
        <f>YEAR(B2)</f>
        <v>1900</v>
      </c>
      <c r="D2">
        <f>MONTH(B2)</f>
        <v>1</v>
      </c>
      <c r="E2">
        <f>DAY(B2)</f>
        <v>0</v>
      </c>
      <c r="H2" s="4" t="str">
        <f>'inputs and results'!H21</f>
        <v>classic</v>
      </c>
      <c r="I2" s="4">
        <v>2</v>
      </c>
      <c r="K2" t="s">
        <v>120</v>
      </c>
      <c r="L2">
        <v>2</v>
      </c>
    </row>
    <row r="3" spans="1:12" ht="12.75">
      <c r="A3" t="s">
        <v>16</v>
      </c>
      <c r="B3" s="2">
        <f>'inputs and results'!C20</f>
        <v>0</v>
      </c>
      <c r="C3">
        <f>YEAR(B3)</f>
        <v>1900</v>
      </c>
      <c r="D3">
        <f>MONTH(B3)</f>
        <v>1</v>
      </c>
      <c r="E3">
        <f>DAY(B3)</f>
        <v>0</v>
      </c>
      <c r="H3" s="4" t="str">
        <f>'inputs and results'!H22</f>
        <v>premium</v>
      </c>
      <c r="I3" s="4">
        <v>3</v>
      </c>
      <c r="K3" t="s">
        <v>121</v>
      </c>
      <c r="L3">
        <v>3</v>
      </c>
    </row>
    <row r="4" spans="1:12" ht="12.75">
      <c r="A4" t="s">
        <v>161</v>
      </c>
      <c r="B4" s="2">
        <f ca="1">TODAY()</f>
        <v>41819</v>
      </c>
      <c r="C4">
        <f>YEAR(B4)</f>
        <v>2014</v>
      </c>
      <c r="D4">
        <f>MONTH(B4)</f>
        <v>6</v>
      </c>
      <c r="E4">
        <f>DAY(B4)</f>
        <v>29</v>
      </c>
      <c r="F4" s="2">
        <v>39293</v>
      </c>
      <c r="G4" s="42">
        <f>B3-F4</f>
        <v>-39293</v>
      </c>
      <c r="H4" s="4" t="str">
        <f>'inputs and results'!H23</f>
        <v>classic plus</v>
      </c>
      <c r="I4" s="4">
        <v>4</v>
      </c>
      <c r="K4" t="s">
        <v>122</v>
      </c>
      <c r="L4">
        <v>4</v>
      </c>
    </row>
    <row r="5" spans="1:12" ht="12.75">
      <c r="A5" t="s">
        <v>18</v>
      </c>
      <c r="B5" s="3">
        <f>C2-C1+(C5-B1)/365</f>
        <v>0</v>
      </c>
      <c r="C5" s="2">
        <f>DATE(C1,D2,E2)</f>
        <v>0</v>
      </c>
      <c r="H5" s="4" t="str">
        <f>'inputs and results'!H24</f>
        <v>partnership (pre July 07)</v>
      </c>
      <c r="I5" s="4">
        <v>5</v>
      </c>
      <c r="K5" s="1"/>
      <c r="L5" s="1"/>
    </row>
    <row r="6" spans="1:12" ht="12.75">
      <c r="A6" t="s">
        <v>19</v>
      </c>
      <c r="B6" s="3">
        <f>C3-C1+(C6-B1)/365</f>
        <v>0</v>
      </c>
      <c r="C6" s="2">
        <f>DATE(C1,D3,E3)</f>
        <v>0</v>
      </c>
      <c r="D6" t="s">
        <v>162</v>
      </c>
      <c r="E6">
        <f>(B4-B1)/365.25</f>
        <v>114.49418206707735</v>
      </c>
      <c r="H6" s="4" t="str">
        <f>'inputs and results'!H25</f>
        <v>nuvos</v>
      </c>
      <c r="I6" s="4">
        <v>6</v>
      </c>
      <c r="K6" s="1"/>
      <c r="L6" s="1"/>
    </row>
    <row r="7" spans="1:12" ht="12.75">
      <c r="A7" t="s">
        <v>20</v>
      </c>
      <c r="B7" s="3">
        <f>B6-B5</f>
        <v>0</v>
      </c>
      <c r="H7" s="4" t="str">
        <f>'inputs and results'!H26</f>
        <v>partnership (2007)</v>
      </c>
      <c r="I7" s="4">
        <v>7</v>
      </c>
      <c r="K7" s="1"/>
      <c r="L7" s="1"/>
    </row>
    <row r="8" spans="1:12" ht="12.75">
      <c r="A8" s="5" t="s">
        <v>115</v>
      </c>
      <c r="B8" t="str">
        <f>IF('inputs and results'!G10="yes","yes","no")</f>
        <v>no</v>
      </c>
      <c r="K8" s="1"/>
      <c r="L8" s="1"/>
    </row>
    <row r="9" spans="1:19" ht="12.75">
      <c r="A9" t="s">
        <v>21</v>
      </c>
      <c r="B9">
        <f>'inputs and results'!C14</f>
        <v>0</v>
      </c>
      <c r="C9" t="e">
        <f>MATCH(B9,H1:H7,0)</f>
        <v>#N/A</v>
      </c>
      <c r="K9" s="5" t="s">
        <v>31</v>
      </c>
      <c r="P9" s="5" t="s">
        <v>106</v>
      </c>
      <c r="S9" s="5"/>
    </row>
    <row r="10" spans="1:18" ht="12.75">
      <c r="A10" t="s">
        <v>22</v>
      </c>
      <c r="B10">
        <f>'inputs and results'!C16</f>
        <v>0</v>
      </c>
      <c r="C10" t="e">
        <f>MATCH(B10,H11:H22,0)</f>
        <v>#N/A</v>
      </c>
      <c r="K10" t="s">
        <v>32</v>
      </c>
      <c r="L10" t="s">
        <v>28</v>
      </c>
      <c r="M10" t="s">
        <v>29</v>
      </c>
      <c r="N10" t="s">
        <v>30</v>
      </c>
      <c r="O10" t="s">
        <v>130</v>
      </c>
      <c r="P10" t="s">
        <v>28</v>
      </c>
      <c r="Q10" t="s">
        <v>29</v>
      </c>
      <c r="R10" t="s">
        <v>30</v>
      </c>
    </row>
    <row r="11" spans="1:18" ht="12.75">
      <c r="A11" t="s">
        <v>58</v>
      </c>
      <c r="B11">
        <f>'inputs and results'!C18</f>
        <v>0</v>
      </c>
      <c r="H11" s="4" t="str">
        <f>'inputs and results'!H8</f>
        <v>resigned/end of FTA:  &gt; 2 years service</v>
      </c>
      <c r="I11" s="4">
        <v>1</v>
      </c>
      <c r="K11">
        <v>1</v>
      </c>
      <c r="L11" t="s">
        <v>48</v>
      </c>
      <c r="M11" t="s">
        <v>38</v>
      </c>
      <c r="N11" t="s">
        <v>36</v>
      </c>
      <c r="O11" t="s">
        <v>36</v>
      </c>
      <c r="P11" t="s">
        <v>48</v>
      </c>
      <c r="Q11" t="s">
        <v>48</v>
      </c>
      <c r="R11" t="s">
        <v>36</v>
      </c>
    </row>
    <row r="12" spans="1:18" ht="12.75">
      <c r="A12" t="s">
        <v>70</v>
      </c>
      <c r="C12" t="e">
        <f>IF(AND(B11="yes",B18="no",OR(C10=1,C10=2,C10=9,C10=10)),5,C10)</f>
        <v>#N/A</v>
      </c>
      <c r="H12" s="4" t="str">
        <f>'inputs and results'!H9</f>
        <v>resigned/end of FTA: &lt; 2 years service</v>
      </c>
      <c r="I12" s="4">
        <v>2</v>
      </c>
      <c r="K12">
        <v>2</v>
      </c>
      <c r="L12" t="s">
        <v>48</v>
      </c>
      <c r="M12" t="s">
        <v>48</v>
      </c>
      <c r="N12" t="s">
        <v>36</v>
      </c>
      <c r="O12" t="s">
        <v>36</v>
      </c>
      <c r="P12" t="s">
        <v>48</v>
      </c>
      <c r="Q12" t="s">
        <v>48</v>
      </c>
      <c r="R12" t="s">
        <v>36</v>
      </c>
    </row>
    <row r="13" spans="1:18" ht="12.75">
      <c r="A13" t="s">
        <v>72</v>
      </c>
      <c r="B13" t="e">
        <f>IF(OR(C10=6,C10=7,C10=8),"yes","no")</f>
        <v>#N/A</v>
      </c>
      <c r="H13" s="4" t="str">
        <f>'inputs and results'!H10</f>
        <v>early retirement (FER or CER)</v>
      </c>
      <c r="I13" s="4">
        <v>3</v>
      </c>
      <c r="K13">
        <v>3</v>
      </c>
      <c r="L13" t="s">
        <v>40</v>
      </c>
      <c r="M13" t="s">
        <v>40</v>
      </c>
      <c r="N13" t="s">
        <v>39</v>
      </c>
      <c r="O13" t="s">
        <v>117</v>
      </c>
      <c r="P13" t="s">
        <v>40</v>
      </c>
      <c r="Q13" t="s">
        <v>40</v>
      </c>
      <c r="R13" t="s">
        <v>39</v>
      </c>
    </row>
    <row r="14" spans="1:18" ht="12.75">
      <c r="A14" t="s">
        <v>23</v>
      </c>
      <c r="B14">
        <v>5</v>
      </c>
      <c r="C14" t="s">
        <v>25</v>
      </c>
      <c r="H14" s="4" t="str">
        <f>'inputs and results'!H11</f>
        <v>early retirement (AER or ARR)</v>
      </c>
      <c r="I14" s="4">
        <v>4</v>
      </c>
      <c r="K14">
        <v>4</v>
      </c>
      <c r="L14" t="s">
        <v>37</v>
      </c>
      <c r="M14" t="s">
        <v>37</v>
      </c>
      <c r="N14" t="s">
        <v>37</v>
      </c>
      <c r="O14" t="s">
        <v>117</v>
      </c>
      <c r="P14" t="s">
        <v>37</v>
      </c>
      <c r="Q14" t="s">
        <v>37</v>
      </c>
      <c r="R14" t="s">
        <v>37</v>
      </c>
    </row>
    <row r="15" spans="1:18" ht="12.75">
      <c r="A15" t="s">
        <v>24</v>
      </c>
      <c r="B15">
        <v>28</v>
      </c>
      <c r="C15" t="s">
        <v>26</v>
      </c>
      <c r="D15">
        <f>B15/365</f>
        <v>0.07671232876712329</v>
      </c>
      <c r="H15" s="4" t="str">
        <f>'inputs and results'!H12</f>
        <v>age retirement</v>
      </c>
      <c r="I15" s="4">
        <v>5</v>
      </c>
      <c r="K15">
        <v>5</v>
      </c>
      <c r="L15" t="s">
        <v>37</v>
      </c>
      <c r="M15" t="s">
        <v>37</v>
      </c>
      <c r="N15" t="s">
        <v>37</v>
      </c>
      <c r="O15" t="s">
        <v>117</v>
      </c>
      <c r="P15" t="s">
        <v>37</v>
      </c>
      <c r="Q15" t="s">
        <v>37</v>
      </c>
      <c r="R15" t="s">
        <v>37</v>
      </c>
    </row>
    <row r="16" spans="1:18" ht="12.75">
      <c r="A16" t="s">
        <v>123</v>
      </c>
      <c r="B16">
        <f>'inputs and results'!G20</f>
        <v>0</v>
      </c>
      <c r="C16" t="e">
        <f>MATCH(B16,K1:K4,0)</f>
        <v>#N/A</v>
      </c>
      <c r="H16" s="4" t="str">
        <f>'inputs and results'!H13</f>
        <v>ill-health retirement - lower tier</v>
      </c>
      <c r="I16" s="4">
        <v>6</v>
      </c>
      <c r="K16">
        <v>6</v>
      </c>
      <c r="L16" t="s">
        <v>40</v>
      </c>
      <c r="M16" t="s">
        <v>40</v>
      </c>
      <c r="N16" t="s">
        <v>40</v>
      </c>
      <c r="O16" t="s">
        <v>117</v>
      </c>
      <c r="P16" t="s">
        <v>40</v>
      </c>
      <c r="Q16" t="s">
        <v>40</v>
      </c>
      <c r="R16" t="s">
        <v>40</v>
      </c>
    </row>
    <row r="17" spans="1:18" ht="12.75">
      <c r="A17" t="s">
        <v>27</v>
      </c>
      <c r="B17">
        <f>IF(B7&gt;B14,2,IF(B7&lt;=D15,4,3))</f>
        <v>4</v>
      </c>
      <c r="C17" t="s">
        <v>47</v>
      </c>
      <c r="H17" s="4" t="str">
        <f>'inputs and results'!H14</f>
        <v>ill-health retirement - upper tier</v>
      </c>
      <c r="I17" s="4">
        <v>7</v>
      </c>
      <c r="K17">
        <v>7</v>
      </c>
      <c r="L17" t="s">
        <v>43</v>
      </c>
      <c r="M17" t="s">
        <v>43</v>
      </c>
      <c r="N17" t="s">
        <v>43</v>
      </c>
      <c r="O17" t="s">
        <v>117</v>
      </c>
      <c r="P17" t="s">
        <v>43</v>
      </c>
      <c r="Q17" t="s">
        <v>43</v>
      </c>
      <c r="R17" t="s">
        <v>43</v>
      </c>
    </row>
    <row r="18" spans="1:18" ht="12.75">
      <c r="A18" t="s">
        <v>160</v>
      </c>
      <c r="B18" t="e">
        <f>IF(OR(C9=5,C9=7),"yes","no")</f>
        <v>#N/A</v>
      </c>
      <c r="H18" s="4" t="str">
        <f>'inputs and results'!H15</f>
        <v>ill-health retirement - classic</v>
      </c>
      <c r="I18" s="4">
        <v>8</v>
      </c>
      <c r="K18">
        <v>8</v>
      </c>
      <c r="L18" t="s">
        <v>40</v>
      </c>
      <c r="M18" t="s">
        <v>40</v>
      </c>
      <c r="N18" t="s">
        <v>40</v>
      </c>
      <c r="O18" t="s">
        <v>117</v>
      </c>
      <c r="P18" t="s">
        <v>41</v>
      </c>
      <c r="Q18" t="s">
        <v>41</v>
      </c>
      <c r="R18" t="s">
        <v>41</v>
      </c>
    </row>
    <row r="19" spans="1:18" ht="12.75">
      <c r="A19" t="s">
        <v>44</v>
      </c>
      <c r="B19" t="e">
        <f>IF(C9&gt;=5,"new","old")</f>
        <v>#N/A</v>
      </c>
      <c r="C19" t="s">
        <v>45</v>
      </c>
      <c r="H19" s="4" t="str">
        <f>'inputs and results'!H16</f>
        <v>severance (cash compensation)</v>
      </c>
      <c r="I19" s="4">
        <v>9</v>
      </c>
      <c r="K19">
        <v>9</v>
      </c>
      <c r="L19" t="s">
        <v>48</v>
      </c>
      <c r="M19" t="s">
        <v>48</v>
      </c>
      <c r="N19" t="s">
        <v>39</v>
      </c>
      <c r="O19" t="s">
        <v>117</v>
      </c>
      <c r="P19" t="s">
        <v>48</v>
      </c>
      <c r="Q19" t="s">
        <v>48</v>
      </c>
      <c r="R19" t="s">
        <v>39</v>
      </c>
    </row>
    <row r="20" spans="1:18" ht="12.75">
      <c r="A20" t="s">
        <v>46</v>
      </c>
      <c r="B20" s="5" t="e">
        <f>IF(AND(B8="yes",B17&lt;&gt;4),"c3",IF(AND(B8="yes",B17=4),VLOOKUP(C12,K11:O22,5),IF(B19="old",VLOOKUP(C12,K11:N22,B17),VLOOKUP(C12,K11:R22,B17+4))))</f>
        <v>#N/A</v>
      </c>
      <c r="H20" s="4" t="str">
        <f>'inputs and results'!H17</f>
        <v>"reserved rights" severance</v>
      </c>
      <c r="I20" s="4">
        <v>10</v>
      </c>
      <c r="K20">
        <v>10</v>
      </c>
      <c r="L20" t="s">
        <v>42</v>
      </c>
      <c r="M20" t="s">
        <v>42</v>
      </c>
      <c r="N20" t="s">
        <v>39</v>
      </c>
      <c r="O20" t="s">
        <v>117</v>
      </c>
      <c r="P20" t="s">
        <v>41</v>
      </c>
      <c r="Q20" t="s">
        <v>41</v>
      </c>
      <c r="R20" t="s">
        <v>41</v>
      </c>
    </row>
    <row r="21" spans="1:18" ht="12.75">
      <c r="A21" t="s">
        <v>49</v>
      </c>
      <c r="B21" t="e">
        <f>VLOOKUP(B20,A28:D39,4)</f>
        <v>#N/A</v>
      </c>
      <c r="H21" s="4" t="s">
        <v>165</v>
      </c>
      <c r="I21" s="4">
        <v>11</v>
      </c>
      <c r="K21">
        <v>11</v>
      </c>
      <c r="L21" t="s">
        <v>37</v>
      </c>
      <c r="M21" t="s">
        <v>37</v>
      </c>
      <c r="N21" t="s">
        <v>168</v>
      </c>
      <c r="O21" t="s">
        <v>37</v>
      </c>
      <c r="P21" t="s">
        <v>37</v>
      </c>
      <c r="Q21" t="s">
        <v>37</v>
      </c>
      <c r="R21" t="s">
        <v>37</v>
      </c>
    </row>
    <row r="22" spans="1:18" ht="12.75">
      <c r="A22" t="s">
        <v>59</v>
      </c>
      <c r="B22" t="e">
        <f>IF(AND(B11="yes",B8&lt;&gt;"yes",C9&lt;&gt;7,C9&lt;&gt;5,B20&lt;&gt;"a1"),"Rejoiner has pension or ACP in payment.  Don't forget to do CSP13 action (abatement - see Employers' Pension Guide Section 4.3).  ","")</f>
        <v>#N/A</v>
      </c>
      <c r="H22" s="4" t="str">
        <f>'inputs and results'!H19</f>
        <v>none of the above</v>
      </c>
      <c r="I22" s="4">
        <v>12</v>
      </c>
      <c r="K22">
        <v>12</v>
      </c>
      <c r="L22" t="s">
        <v>67</v>
      </c>
      <c r="M22" t="s">
        <v>67</v>
      </c>
      <c r="N22" t="s">
        <v>67</v>
      </c>
      <c r="O22" t="s">
        <v>117</v>
      </c>
      <c r="P22" t="s">
        <v>67</v>
      </c>
      <c r="Q22" t="s">
        <v>67</v>
      </c>
      <c r="R22" t="s">
        <v>67</v>
      </c>
    </row>
    <row r="23" spans="1:2" ht="12.75">
      <c r="A23" t="s">
        <v>71</v>
      </c>
      <c r="B23" t="e">
        <f>IF(AND(B11="yes",B13="no",E6&lt;50),"Under 50 with pension in payment?  Please check","")</f>
        <v>#N/A</v>
      </c>
    </row>
    <row r="24" spans="1:2" ht="12.75">
      <c r="A24" t="s">
        <v>116</v>
      </c>
      <c r="B24" t="e">
        <f>IF(AND(B8="yes",B20="a"),"Member goes into equivalent of their old scheme"&amp;IF(B18="no"," ONLY IF they transfer benefits from their by-analogy scheme.  ",".  "),"")</f>
        <v>#N/A</v>
      </c>
    </row>
    <row r="25" spans="1:2" ht="12.75">
      <c r="A25" t="s">
        <v>125</v>
      </c>
      <c r="B25" t="e">
        <f>IF(C16&lt;=2,"Auto-enrol into nuvos","Do not enter into pension scheme unless/until member chooses to join")</f>
        <v>#N/A</v>
      </c>
    </row>
    <row r="26" spans="1:2" ht="12.75">
      <c r="A26" t="s">
        <v>132</v>
      </c>
      <c r="B26" t="e">
        <f>IF(AND(OR(C9=5,C9=7),OR(B20="a",B20="a1")),"Send the individual form CSP14 and then use this information to re-activate their partnership account.  See EPNxxx.  "," ")</f>
        <v>#N/A</v>
      </c>
    </row>
    <row r="27" ht="12.75">
      <c r="A27" t="s">
        <v>166</v>
      </c>
    </row>
    <row r="28" spans="1:11" ht="12.75">
      <c r="A28" t="s">
        <v>36</v>
      </c>
      <c r="B28" t="s">
        <v>102</v>
      </c>
      <c r="C28" t="e">
        <f>IF(B8="yes","I",IF(OR(C9=7,C9=5),"J","C"))</f>
        <v>#N/A</v>
      </c>
      <c r="D28" t="str">
        <f>"Member has no break in service - rejoins their previous scheme "&amp;IF(B8="yes","BUT see note below.  Print this page and copy it to your APAC","")</f>
        <v>Member has no break in service - rejoins their previous scheme </v>
      </c>
      <c r="K28" s="5"/>
    </row>
    <row r="29" spans="1:4" ht="12.75">
      <c r="A29" t="s">
        <v>39</v>
      </c>
      <c r="B29" t="s">
        <v>102</v>
      </c>
      <c r="C29" t="e">
        <f>IF(B18="yes","J","D")</f>
        <v>#N/A</v>
      </c>
      <c r="D29" t="s">
        <v>152</v>
      </c>
    </row>
    <row r="30" spans="1:4" ht="12.75">
      <c r="A30" t="s">
        <v>38</v>
      </c>
      <c r="B30" t="s">
        <v>159</v>
      </c>
      <c r="C30" t="s">
        <v>124</v>
      </c>
      <c r="D30" t="s">
        <v>126</v>
      </c>
    </row>
    <row r="31" spans="1:4" ht="12.75">
      <c r="A31" t="s">
        <v>37</v>
      </c>
      <c r="B31" t="s">
        <v>103</v>
      </c>
      <c r="C31" t="e">
        <f>IF(OR(C10=9,C10=10),"H","E")</f>
        <v>#N/A</v>
      </c>
      <c r="D31" t="s">
        <v>153</v>
      </c>
    </row>
    <row r="32" spans="1:4" ht="12.75">
      <c r="A32" t="s">
        <v>40</v>
      </c>
      <c r="B32" t="s">
        <v>103</v>
      </c>
      <c r="C32" t="e">
        <f>IF(OR(C10=6,C10=8),"F","H")</f>
        <v>#N/A</v>
      </c>
      <c r="D32" t="str">
        <f>"Member will have choice of nuvos or partnership"&amp;(IF(B7&lt;=10,", but may be subject to a 'quarantine' period reflecting period of enhancement.  Print this page and get details from your APAC before auto-enrolling them into nuvos.",""))</f>
        <v>Member will have choice of nuvos or partnership, but may be subject to a 'quarantine' period reflecting period of enhancement.  Print this page and get details from your APAC before auto-enrolling them into nuvos.</v>
      </c>
    </row>
    <row r="33" spans="1:4" ht="12.75">
      <c r="A33" t="s">
        <v>42</v>
      </c>
      <c r="B33" t="s">
        <v>103</v>
      </c>
      <c r="C33" t="s">
        <v>157</v>
      </c>
      <c r="D33" t="str">
        <f>"Member will be treated as new entrant (choice of nuvos or partnership)"&amp;(IF(B7&lt;=10,", but may be subject to a 'quarantine' period reflecting notional period of enhancement.  Print this page and get details from your APAC before auto-enrolling them into nuvos.",""))</f>
        <v>Member will be treated as new entrant (choice of nuvos or partnership), but may be subject to a 'quarantine' period reflecting notional period of enhancement.  Print this page and get details from your APAC before auto-enrolling them into nuvos.</v>
      </c>
    </row>
    <row r="34" spans="1:4" ht="12.75">
      <c r="A34" t="s">
        <v>117</v>
      </c>
      <c r="B34" t="e">
        <f>IF(C34="A","NE1","NE2")</f>
        <v>#N/A</v>
      </c>
      <c r="C34" t="e">
        <f>IF(OR(C16=1,C16=2),"A","B")</f>
        <v>#N/A</v>
      </c>
      <c r="D34" t="e">
        <f>"Member will have choice of nuvos or partnership.  "&amp;TEXT(B25," ")</f>
        <v>#N/A</v>
      </c>
    </row>
    <row r="35" spans="1:4" ht="12.75">
      <c r="A35" t="s">
        <v>48</v>
      </c>
      <c r="B35" t="s">
        <v>103</v>
      </c>
      <c r="C35" t="s">
        <v>158</v>
      </c>
      <c r="D35" t="s">
        <v>156</v>
      </c>
    </row>
    <row r="36" spans="1:4" ht="12.75">
      <c r="A36" t="s">
        <v>168</v>
      </c>
      <c r="B36" t="s">
        <v>102</v>
      </c>
      <c r="C36" t="s">
        <v>167</v>
      </c>
      <c r="D36" t="str">
        <f>IF(D50="before","Check that member meets formal retirement conditions - see EPNxxx.  If they do, they rejoin old scheme.","Formal retirement is now possible for pre-Fresh Start prison officers only.  For anyone else, reinput as an Age Retirement.")</f>
        <v>Check that member meets formal retirement conditions - see EPNxxx.  If they do, they rejoin old scheme.</v>
      </c>
    </row>
    <row r="37" spans="1:4" ht="12.75">
      <c r="A37" t="s">
        <v>43</v>
      </c>
      <c r="D37" t="s">
        <v>86</v>
      </c>
    </row>
    <row r="38" spans="1:4" ht="12.75">
      <c r="A38" t="s">
        <v>41</v>
      </c>
      <c r="D38" t="s">
        <v>154</v>
      </c>
    </row>
    <row r="39" spans="1:4" ht="12.75">
      <c r="A39" t="s">
        <v>67</v>
      </c>
      <c r="D39" t="s">
        <v>68</v>
      </c>
    </row>
    <row r="41" spans="1:2" ht="12.75">
      <c r="A41" t="s">
        <v>99</v>
      </c>
      <c r="B41" t="e">
        <f>VLOOKUP(B20,A28:D39,2)</f>
        <v>#N/A</v>
      </c>
    </row>
    <row r="42" spans="1:2" ht="12.75">
      <c r="A42" t="s">
        <v>100</v>
      </c>
      <c r="B42" t="e">
        <f>VLOOKUP(B20,A28:D39,3)</f>
        <v>#N/A</v>
      </c>
    </row>
    <row r="44" spans="1:3" ht="12.75">
      <c r="A44" t="s">
        <v>107</v>
      </c>
      <c r="B44" s="2">
        <v>39264</v>
      </c>
      <c r="C44" t="e">
        <f>IF(AND(B2&lt;B44,C9=6),"leaving date not compatible with novus membership","")</f>
        <v>#N/A</v>
      </c>
    </row>
    <row r="45" spans="1:3" ht="12.75">
      <c r="A45" t="s">
        <v>108</v>
      </c>
      <c r="B45" t="e">
        <f>IF(AND(OR(C10=4,C10=5,C10=6,C10=7,C10=8,C10=11,AND(C10=3,OR(C9=1,C9=2))),B11="no",B8="no"),1,0)</f>
        <v>#N/A</v>
      </c>
      <c r="C45" t="e">
        <f>IF(B45=1,"are you sure?",IF(B23&lt;&gt;"",B23,""))</f>
        <v>#N/A</v>
      </c>
    </row>
    <row r="47" spans="1:2" ht="12.75">
      <c r="A47" t="s">
        <v>155</v>
      </c>
      <c r="B47" t="e">
        <f>B22&amp;B24&amp;B26</f>
        <v>#N/A</v>
      </c>
    </row>
    <row r="48" ht="12.75">
      <c r="A48" t="str">
        <f>IF('inputs and results'!C20="","You must enter this date"," ")</f>
        <v>You must enter this date</v>
      </c>
    </row>
    <row r="49" ht="12.75">
      <c r="A49" t="str">
        <f>IF(G4&lt;0,"Do not use this calculator for rejoiners before 30 July 2007"," ")</f>
        <v>Do not use this calculator for rejoiners before 30 July 2007</v>
      </c>
    </row>
    <row r="50" spans="1:4" ht="12.75">
      <c r="A50" t="s">
        <v>169</v>
      </c>
      <c r="C50" s="2">
        <v>39508</v>
      </c>
      <c r="D50" t="str">
        <f>IF(B3&lt;C50,"before","after")</f>
        <v>before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Q27" sqref="Q27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1.57421875" style="0" customWidth="1"/>
    <col min="4" max="14" width="3.7109375" style="0" customWidth="1"/>
    <col min="15" max="15" width="13.7109375" style="0" customWidth="1"/>
    <col min="17" max="17" width="5.8515625" style="0" customWidth="1"/>
    <col min="19" max="19" width="24.28125" style="0" customWidth="1"/>
  </cols>
  <sheetData>
    <row r="1" spans="2:19" ht="12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28"/>
      <c r="R1" s="11"/>
      <c r="S1" s="11"/>
    </row>
    <row r="2" spans="1:19" ht="16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19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2:19" ht="41.25" customHeight="1">
      <c r="B4" s="11"/>
      <c r="C4" s="11"/>
      <c r="D4" s="29" t="s">
        <v>175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2:19" ht="13.5" customHeight="1">
      <c r="B5" s="3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2:19" ht="26.25" customHeight="1">
      <c r="B6" s="75" t="s">
        <v>94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2"/>
    </row>
    <row r="7" spans="2:19" ht="24.75" customHeight="1">
      <c r="B7" s="3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6.5" customHeight="1">
      <c r="A8" t="s">
        <v>76</v>
      </c>
      <c r="B8" s="11" t="s">
        <v>61</v>
      </c>
      <c r="C8" s="11"/>
      <c r="D8" s="67"/>
      <c r="E8" s="68"/>
      <c r="F8" s="68"/>
      <c r="G8" s="68"/>
      <c r="H8" s="68"/>
      <c r="I8" s="68"/>
      <c r="J8" s="68"/>
      <c r="K8" s="68"/>
      <c r="L8" s="68"/>
      <c r="M8" s="68"/>
      <c r="N8" s="69"/>
      <c r="O8" s="32"/>
      <c r="P8" s="11"/>
      <c r="Q8" s="11"/>
      <c r="R8" s="11"/>
      <c r="S8" s="11"/>
    </row>
    <row r="9" spans="2:19" ht="5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6.5" customHeight="1">
      <c r="A10" t="s">
        <v>77</v>
      </c>
      <c r="B10" s="11" t="s">
        <v>62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13"/>
      <c r="N10" s="13"/>
      <c r="O10" s="11"/>
      <c r="P10" s="11"/>
      <c r="Q10" s="11"/>
      <c r="R10" s="11"/>
      <c r="S10" s="11"/>
    </row>
    <row r="11" spans="4:14" s="11" customFormat="1" ht="5.25" customHeight="1"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3"/>
    </row>
    <row r="12" spans="1:19" ht="16.5" customHeight="1">
      <c r="A12" t="s">
        <v>78</v>
      </c>
      <c r="B12" s="11" t="s">
        <v>75</v>
      </c>
      <c r="C12" s="11"/>
      <c r="D12" s="70"/>
      <c r="E12" s="68"/>
      <c r="F12" s="68"/>
      <c r="G12" s="68"/>
      <c r="H12" s="68"/>
      <c r="I12" s="69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2:19" ht="18" customHeight="1">
      <c r="B13" s="11"/>
      <c r="C13" s="11"/>
      <c r="D13" s="33"/>
      <c r="E13" s="34"/>
      <c r="F13" s="34"/>
      <c r="G13" s="34"/>
      <c r="H13" s="34"/>
      <c r="I13" s="34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4" s="11" customFormat="1" ht="16.5" customHeight="1">
      <c r="A14" s="11" t="s">
        <v>79</v>
      </c>
      <c r="B14" s="11" t="s">
        <v>163</v>
      </c>
      <c r="D14" s="12"/>
      <c r="E14" s="12"/>
      <c r="F14" s="12"/>
      <c r="G14" s="12"/>
      <c r="H14" s="12"/>
      <c r="I14" s="12"/>
      <c r="J14" s="12"/>
      <c r="K14" s="12" t="s">
        <v>189</v>
      </c>
      <c r="L14" s="12"/>
      <c r="M14" s="13"/>
      <c r="N14" s="13"/>
    </row>
    <row r="15" spans="4:14" s="11" customFormat="1" ht="5.25" customHeight="1"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3"/>
    </row>
    <row r="16" spans="2:19" ht="16.5" customHeight="1">
      <c r="B16" s="11"/>
      <c r="C16" s="11"/>
      <c r="D16" s="11" t="s">
        <v>56</v>
      </c>
      <c r="E16" s="9"/>
      <c r="F16" s="11"/>
      <c r="G16" s="11"/>
      <c r="H16" s="11"/>
      <c r="I16" s="11"/>
      <c r="J16" s="35" t="s">
        <v>129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5:9" s="11" customFormat="1" ht="12.75">
      <c r="E17" s="26"/>
      <c r="I17" s="12"/>
    </row>
    <row r="18" spans="2:19" ht="16.5" customHeight="1">
      <c r="B18" s="11"/>
      <c r="C18" s="11"/>
      <c r="D18" s="11" t="s">
        <v>57</v>
      </c>
      <c r="E18" s="9"/>
      <c r="F18" s="11"/>
      <c r="G18" s="11"/>
      <c r="H18" s="11"/>
      <c r="I18" s="12"/>
      <c r="J18" s="35" t="s">
        <v>145</v>
      </c>
      <c r="K18" s="11"/>
      <c r="L18" s="11"/>
      <c r="M18" s="11"/>
      <c r="N18" s="11"/>
      <c r="O18" s="11"/>
      <c r="P18" s="11"/>
      <c r="Q18" s="11"/>
      <c r="R18" s="11"/>
      <c r="S18" s="11"/>
    </row>
    <row r="19" spans="5:9" s="11" customFormat="1" ht="12.75">
      <c r="E19" s="12"/>
      <c r="I19" s="12"/>
    </row>
    <row r="20" spans="1:19" ht="16.5" customHeight="1">
      <c r="A20" t="s">
        <v>80</v>
      </c>
      <c r="B20" s="11" t="s">
        <v>164</v>
      </c>
      <c r="C20" s="11"/>
      <c r="D20" s="33"/>
      <c r="E20" s="34"/>
      <c r="F20" s="34"/>
      <c r="G20" s="34"/>
      <c r="H20" s="34"/>
      <c r="I20" s="34"/>
      <c r="J20" s="11"/>
      <c r="K20" s="11"/>
      <c r="L20" s="11"/>
      <c r="M20" s="11" t="s">
        <v>188</v>
      </c>
      <c r="N20" s="11"/>
      <c r="O20" s="11"/>
      <c r="P20" s="11"/>
      <c r="Q20" s="11"/>
      <c r="R20" s="11"/>
      <c r="S20" s="11"/>
    </row>
    <row r="21" spans="2:19" ht="16.5" customHeight="1">
      <c r="B21" s="11"/>
      <c r="C21" s="11"/>
      <c r="D21" s="33"/>
      <c r="E21" s="34"/>
      <c r="F21" s="34"/>
      <c r="G21" s="34"/>
      <c r="H21" s="34"/>
      <c r="I21" s="34"/>
      <c r="J21" s="11"/>
      <c r="K21" s="11"/>
      <c r="L21" s="11"/>
      <c r="M21" s="49" t="s">
        <v>176</v>
      </c>
      <c r="N21" s="11"/>
      <c r="O21" s="11"/>
      <c r="P21" s="11"/>
      <c r="Q21" s="11"/>
      <c r="R21" s="11"/>
      <c r="S21" s="11"/>
    </row>
    <row r="22" spans="2:19" ht="16.5" customHeight="1">
      <c r="B22" s="11"/>
      <c r="C22" s="11"/>
      <c r="D22" s="33" t="s">
        <v>56</v>
      </c>
      <c r="E22" s="48"/>
      <c r="F22" s="34"/>
      <c r="G22" s="34"/>
      <c r="H22" s="34"/>
      <c r="I22" s="34"/>
      <c r="J22" s="35" t="s">
        <v>128</v>
      </c>
      <c r="K22" s="11"/>
      <c r="L22" s="11"/>
      <c r="M22" s="11"/>
      <c r="N22" s="11"/>
      <c r="O22" s="11"/>
      <c r="P22" s="11"/>
      <c r="Q22" s="11"/>
      <c r="R22" s="11"/>
      <c r="S22" s="11"/>
    </row>
    <row r="23" s="11" customFormat="1" ht="8.25" customHeight="1"/>
    <row r="24" spans="2:19" ht="16.5" customHeight="1">
      <c r="B24" s="11"/>
      <c r="C24" s="11"/>
      <c r="D24" s="33" t="s">
        <v>57</v>
      </c>
      <c r="E24" s="48"/>
      <c r="F24" s="34"/>
      <c r="G24" s="34"/>
      <c r="H24" s="34"/>
      <c r="I24" s="34"/>
      <c r="J24" s="35" t="s">
        <v>93</v>
      </c>
      <c r="K24" s="11"/>
      <c r="L24" s="11"/>
      <c r="M24" s="11"/>
      <c r="N24" s="11"/>
      <c r="O24" s="11"/>
      <c r="P24" s="11"/>
      <c r="Q24" s="11"/>
      <c r="R24" s="11"/>
      <c r="S24" s="11"/>
    </row>
    <row r="25" s="11" customFormat="1" ht="8.25" customHeight="1"/>
    <row r="26" spans="2:19" ht="17.25" customHeight="1">
      <c r="B26" s="35" t="s">
        <v>89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2:19" ht="14.25" customHeight="1">
      <c r="B27" s="35" t="s">
        <v>90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2:19" ht="8.2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2:19" ht="16.5" customHeight="1">
      <c r="B29" s="11" t="s">
        <v>95</v>
      </c>
      <c r="C29" s="11"/>
      <c r="D29" s="67"/>
      <c r="E29" s="68"/>
      <c r="F29" s="68"/>
      <c r="G29" s="68"/>
      <c r="H29" s="68"/>
      <c r="I29" s="68"/>
      <c r="J29" s="68"/>
      <c r="K29" s="68"/>
      <c r="L29" s="68"/>
      <c r="M29" s="69"/>
      <c r="N29" s="11"/>
      <c r="O29" s="11" t="s">
        <v>85</v>
      </c>
      <c r="P29" s="67"/>
      <c r="Q29" s="69"/>
      <c r="R29" s="13"/>
      <c r="S29" s="11"/>
    </row>
    <row r="30" spans="2:19" ht="33.75" customHeight="1">
      <c r="B30" s="3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2:19" ht="60.75" customHeight="1">
      <c r="B31" s="64" t="s">
        <v>149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6"/>
    </row>
    <row r="32" s="11" customFormat="1" ht="20.25" customHeight="1">
      <c r="B32" s="27" t="s">
        <v>137</v>
      </c>
    </row>
    <row r="33" s="11" customFormat="1" ht="10.5" customHeight="1"/>
    <row r="34" spans="1:19" ht="16.5" customHeight="1">
      <c r="A34" t="s">
        <v>81</v>
      </c>
      <c r="B34" s="11" t="s">
        <v>63</v>
      </c>
      <c r="C34" s="11"/>
      <c r="D34" s="70"/>
      <c r="E34" s="68"/>
      <c r="F34" s="68"/>
      <c r="G34" s="68"/>
      <c r="H34" s="68"/>
      <c r="I34" s="69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2:19" ht="5.2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25.5" customHeight="1">
      <c r="A36" t="s">
        <v>82</v>
      </c>
      <c r="B36" s="31" t="s">
        <v>177</v>
      </c>
      <c r="C36" s="11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73"/>
      <c r="P36" s="73"/>
      <c r="Q36" s="74"/>
      <c r="R36" s="11"/>
      <c r="S36" s="11"/>
    </row>
    <row r="37" spans="2:19" ht="5.2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6.5" customHeight="1">
      <c r="A38" t="s">
        <v>83</v>
      </c>
      <c r="B38" s="11" t="s">
        <v>178</v>
      </c>
      <c r="C38" s="11"/>
      <c r="D38" s="70"/>
      <c r="E38" s="68"/>
      <c r="F38" s="68"/>
      <c r="G38" s="68"/>
      <c r="H38" s="68"/>
      <c r="I38" s="68"/>
      <c r="J38" s="73"/>
      <c r="K38" s="73"/>
      <c r="L38" s="73"/>
      <c r="M38" s="74"/>
      <c r="N38" s="11"/>
      <c r="O38" s="37" t="s">
        <v>138</v>
      </c>
      <c r="P38" s="11"/>
      <c r="Q38" s="11"/>
      <c r="R38" s="11"/>
      <c r="S38" s="11"/>
    </row>
    <row r="39" spans="2:19" ht="5.25" customHeight="1">
      <c r="B39" s="11"/>
      <c r="C39" s="11"/>
      <c r="D39" s="33"/>
      <c r="E39" s="34"/>
      <c r="F39" s="34"/>
      <c r="G39" s="34"/>
      <c r="H39" s="34"/>
      <c r="I39" s="34"/>
      <c r="J39" s="11"/>
      <c r="K39" s="11"/>
      <c r="L39" s="11"/>
      <c r="M39" s="11"/>
      <c r="N39" s="11"/>
      <c r="O39" s="37"/>
      <c r="P39" s="11"/>
      <c r="Q39" s="11"/>
      <c r="R39" s="11"/>
      <c r="S39" s="11"/>
    </row>
    <row r="40" spans="1:19" ht="16.5" customHeight="1">
      <c r="A40" t="s">
        <v>84</v>
      </c>
      <c r="B40" s="11" t="s">
        <v>179</v>
      </c>
      <c r="C40" s="11"/>
      <c r="D40" s="33" t="s">
        <v>112</v>
      </c>
      <c r="E40" s="34"/>
      <c r="F40" s="34"/>
      <c r="G40" s="34"/>
      <c r="H40" s="48"/>
      <c r="I40" s="34"/>
      <c r="J40" s="11" t="s">
        <v>113</v>
      </c>
      <c r="K40" s="11"/>
      <c r="L40" s="11"/>
      <c r="M40" s="9"/>
      <c r="N40" s="11"/>
      <c r="O40" s="11"/>
      <c r="P40" s="11"/>
      <c r="Q40" s="11"/>
      <c r="R40" s="11"/>
      <c r="S40" s="11"/>
    </row>
    <row r="41" spans="2:19" ht="12" customHeight="1">
      <c r="B41" s="38" t="s">
        <v>180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6.5" customHeight="1">
      <c r="A42" t="s">
        <v>92</v>
      </c>
      <c r="B42" s="11" t="s">
        <v>64</v>
      </c>
      <c r="C42" s="11"/>
      <c r="D42" s="11" t="s">
        <v>65</v>
      </c>
      <c r="E42" s="11"/>
      <c r="F42" s="11"/>
      <c r="G42" s="11"/>
      <c r="H42" s="11"/>
      <c r="I42" s="11"/>
      <c r="J42" s="11"/>
      <c r="K42" s="11"/>
      <c r="L42" s="11"/>
      <c r="M42" s="9"/>
      <c r="N42" s="11"/>
      <c r="O42" s="11"/>
      <c r="P42" s="11"/>
      <c r="Q42" s="11"/>
      <c r="R42" s="11"/>
      <c r="S42" s="11"/>
    </row>
    <row r="43" spans="2:19" ht="16.5" customHeight="1">
      <c r="B43" s="71" t="s">
        <v>139</v>
      </c>
      <c r="C43" s="11"/>
      <c r="D43" s="35" t="s">
        <v>11</v>
      </c>
      <c r="E43" s="11"/>
      <c r="F43" s="11"/>
      <c r="G43" s="11"/>
      <c r="H43" s="11"/>
      <c r="I43" s="11"/>
      <c r="J43" s="11"/>
      <c r="K43" s="11"/>
      <c r="L43" s="11"/>
      <c r="M43" s="9"/>
      <c r="N43" s="11"/>
      <c r="O43" s="11"/>
      <c r="P43" s="11"/>
      <c r="Q43" s="11"/>
      <c r="R43" s="11"/>
      <c r="S43" s="11"/>
    </row>
    <row r="44" spans="2:19" ht="16.5" customHeight="1">
      <c r="B44" s="71"/>
      <c r="C44" s="11"/>
      <c r="D44" s="35" t="s">
        <v>12</v>
      </c>
      <c r="E44" s="11"/>
      <c r="F44" s="11"/>
      <c r="G44" s="11"/>
      <c r="H44" s="11"/>
      <c r="I44" s="11"/>
      <c r="J44" s="11"/>
      <c r="K44" s="11"/>
      <c r="L44" s="11"/>
      <c r="M44" s="9"/>
      <c r="N44" s="11"/>
      <c r="O44" s="11"/>
      <c r="P44" s="11"/>
      <c r="Q44" s="11"/>
      <c r="R44" s="11"/>
      <c r="S44" s="11"/>
    </row>
    <row r="45" spans="2:19" ht="16.5" customHeight="1">
      <c r="B45" s="71" t="s">
        <v>183</v>
      </c>
      <c r="C45" s="11"/>
      <c r="D45" s="35" t="s">
        <v>13</v>
      </c>
      <c r="E45" s="11"/>
      <c r="F45" s="11"/>
      <c r="G45" s="11"/>
      <c r="H45" s="11"/>
      <c r="I45" s="11"/>
      <c r="J45" s="11"/>
      <c r="K45" s="11"/>
      <c r="L45" s="11"/>
      <c r="M45" s="9"/>
      <c r="N45" s="11"/>
      <c r="O45" s="37"/>
      <c r="P45" s="11"/>
      <c r="Q45" s="11"/>
      <c r="R45" s="11"/>
      <c r="S45" s="11"/>
    </row>
    <row r="46" spans="2:19" ht="16.5" customHeight="1">
      <c r="B46" s="72"/>
      <c r="C46" s="11"/>
      <c r="D46" s="35" t="s">
        <v>172</v>
      </c>
      <c r="E46" s="11"/>
      <c r="F46" s="11"/>
      <c r="G46" s="11"/>
      <c r="H46" s="11"/>
      <c r="I46" s="11"/>
      <c r="J46" s="11"/>
      <c r="K46" s="11"/>
      <c r="L46" s="11"/>
      <c r="M46" s="9"/>
      <c r="N46" s="11"/>
      <c r="O46" s="38"/>
      <c r="P46" s="11"/>
      <c r="Q46" s="11"/>
      <c r="R46" s="11"/>
      <c r="S46" s="11"/>
    </row>
    <row r="47" spans="2:19" ht="16.5" customHeight="1">
      <c r="B47" s="11"/>
      <c r="C47" s="11"/>
      <c r="D47" s="35" t="s">
        <v>146</v>
      </c>
      <c r="E47" s="11"/>
      <c r="F47" s="11"/>
      <c r="G47" s="11"/>
      <c r="H47" s="11"/>
      <c r="I47" s="11"/>
      <c r="J47" s="11"/>
      <c r="K47" s="11"/>
      <c r="L47" s="11"/>
      <c r="M47" s="9"/>
      <c r="N47" s="11"/>
      <c r="O47" s="38"/>
      <c r="P47" s="38" t="s">
        <v>131</v>
      </c>
      <c r="Q47" s="11"/>
      <c r="R47" s="67"/>
      <c r="S47" s="69"/>
    </row>
    <row r="48" spans="2:19" ht="16.5" customHeight="1">
      <c r="B48" s="50" t="s">
        <v>181</v>
      </c>
      <c r="C48" s="11"/>
      <c r="D48" s="35" t="s">
        <v>173</v>
      </c>
      <c r="E48" s="11"/>
      <c r="F48" s="11"/>
      <c r="G48" s="11"/>
      <c r="H48" s="11"/>
      <c r="I48" s="11"/>
      <c r="J48" s="11"/>
      <c r="K48" s="11"/>
      <c r="L48" s="11"/>
      <c r="M48" s="9"/>
      <c r="N48" s="11"/>
      <c r="O48" s="38"/>
      <c r="P48" s="11"/>
      <c r="Q48" s="11"/>
      <c r="R48" s="11"/>
      <c r="S48" s="11"/>
    </row>
    <row r="49" spans="2:19" ht="17.2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38"/>
      <c r="P49" s="11"/>
      <c r="Q49" s="11"/>
      <c r="R49" s="11"/>
      <c r="S49" s="11"/>
    </row>
    <row r="50" spans="1:19" ht="25.5" customHeight="1">
      <c r="A50" t="s">
        <v>114</v>
      </c>
      <c r="B50" s="11" t="s">
        <v>96</v>
      </c>
      <c r="C50" s="11"/>
      <c r="D50" s="61" t="s">
        <v>184</v>
      </c>
      <c r="E50" s="62"/>
      <c r="F50" s="62"/>
      <c r="G50" s="62"/>
      <c r="H50" s="62"/>
      <c r="I50" s="62"/>
      <c r="J50" s="62"/>
      <c r="K50" s="62"/>
      <c r="L50" s="63"/>
      <c r="M50" s="9"/>
      <c r="N50" s="11"/>
      <c r="O50" s="43" t="s">
        <v>109</v>
      </c>
      <c r="P50" s="11"/>
      <c r="Q50" s="11"/>
      <c r="R50" s="11"/>
      <c r="S50" s="11"/>
    </row>
    <row r="51" spans="2:19" ht="25.5" customHeight="1">
      <c r="B51" s="11"/>
      <c r="C51" s="11"/>
      <c r="D51" s="61" t="s">
        <v>185</v>
      </c>
      <c r="E51" s="62"/>
      <c r="F51" s="62"/>
      <c r="G51" s="62"/>
      <c r="H51" s="62"/>
      <c r="I51" s="62"/>
      <c r="J51" s="62"/>
      <c r="K51" s="62"/>
      <c r="L51" s="63"/>
      <c r="M51" s="9"/>
      <c r="N51" s="11"/>
      <c r="O51" s="44" t="s">
        <v>140</v>
      </c>
      <c r="P51" s="11"/>
      <c r="Q51" s="11"/>
      <c r="R51" s="11"/>
      <c r="S51" s="11"/>
    </row>
    <row r="52" spans="2:19" ht="16.5" customHeight="1">
      <c r="B52" s="50" t="s">
        <v>182</v>
      </c>
      <c r="C52" s="11"/>
      <c r="D52" s="39" t="s">
        <v>141</v>
      </c>
      <c r="E52" s="40"/>
      <c r="F52" s="40"/>
      <c r="G52" s="40"/>
      <c r="H52" s="40"/>
      <c r="I52" s="40"/>
      <c r="J52" s="40"/>
      <c r="K52" s="40"/>
      <c r="L52" s="41"/>
      <c r="M52" s="9"/>
      <c r="N52" s="11"/>
      <c r="O52" s="37" t="s">
        <v>98</v>
      </c>
      <c r="P52" s="11"/>
      <c r="Q52" s="11"/>
      <c r="R52" s="11"/>
      <c r="S52" s="11"/>
    </row>
    <row r="53" spans="2:19" ht="26.25" customHeight="1">
      <c r="B53" s="11"/>
      <c r="C53" s="11"/>
      <c r="D53" s="61" t="s">
        <v>142</v>
      </c>
      <c r="E53" s="62"/>
      <c r="F53" s="62"/>
      <c r="G53" s="62"/>
      <c r="H53" s="62"/>
      <c r="I53" s="62"/>
      <c r="J53" s="62"/>
      <c r="K53" s="62"/>
      <c r="L53" s="63"/>
      <c r="M53" s="9"/>
      <c r="N53" s="11"/>
      <c r="O53" s="37" t="s">
        <v>91</v>
      </c>
      <c r="P53" s="11"/>
      <c r="Q53" s="11"/>
      <c r="R53" s="11"/>
      <c r="S53" s="11"/>
    </row>
    <row r="54" spans="2:19" ht="16.5" customHeight="1">
      <c r="B54" s="11"/>
      <c r="C54" s="11"/>
      <c r="D54" s="39" t="s">
        <v>143</v>
      </c>
      <c r="E54" s="40"/>
      <c r="F54" s="40"/>
      <c r="G54" s="40"/>
      <c r="H54" s="40"/>
      <c r="I54" s="40"/>
      <c r="J54" s="40"/>
      <c r="K54" s="40"/>
      <c r="L54" s="41"/>
      <c r="M54" s="9"/>
      <c r="N54" s="11"/>
      <c r="O54" s="37" t="s">
        <v>73</v>
      </c>
      <c r="P54" s="11"/>
      <c r="Q54" s="11"/>
      <c r="R54" s="11"/>
      <c r="S54" s="11"/>
    </row>
    <row r="55" spans="2:19" ht="16.5" customHeight="1">
      <c r="B55" s="11"/>
      <c r="C55" s="11"/>
      <c r="D55" s="39" t="s">
        <v>33</v>
      </c>
      <c r="E55" s="40"/>
      <c r="F55" s="40"/>
      <c r="G55" s="40"/>
      <c r="H55" s="40"/>
      <c r="I55" s="40"/>
      <c r="J55" s="40"/>
      <c r="K55" s="40"/>
      <c r="L55" s="41"/>
      <c r="M55" s="9"/>
      <c r="N55" s="11"/>
      <c r="O55" s="37" t="s">
        <v>147</v>
      </c>
      <c r="P55" s="11"/>
      <c r="Q55" s="11"/>
      <c r="R55" s="11"/>
      <c r="S55" s="11"/>
    </row>
    <row r="56" spans="2:19" ht="16.5" customHeight="1">
      <c r="B56" s="11"/>
      <c r="C56" s="11"/>
      <c r="D56" s="39" t="s">
        <v>34</v>
      </c>
      <c r="E56" s="40"/>
      <c r="F56" s="40"/>
      <c r="G56" s="40"/>
      <c r="H56" s="40"/>
      <c r="I56" s="40"/>
      <c r="J56" s="40"/>
      <c r="K56" s="40"/>
      <c r="L56" s="41"/>
      <c r="M56" s="9"/>
      <c r="N56" s="11"/>
      <c r="O56" s="37" t="s">
        <v>148</v>
      </c>
      <c r="P56" s="11"/>
      <c r="Q56" s="11"/>
      <c r="R56" s="11"/>
      <c r="S56" s="11"/>
    </row>
    <row r="57" spans="2:19" ht="16.5" customHeight="1">
      <c r="B57" s="11"/>
      <c r="C57" s="11"/>
      <c r="D57" s="39" t="s">
        <v>110</v>
      </c>
      <c r="E57" s="40"/>
      <c r="F57" s="40"/>
      <c r="G57" s="40"/>
      <c r="H57" s="40"/>
      <c r="I57" s="40"/>
      <c r="J57" s="40"/>
      <c r="K57" s="40"/>
      <c r="L57" s="41"/>
      <c r="M57" s="9"/>
      <c r="N57" s="11"/>
      <c r="O57" s="37" t="s">
        <v>97</v>
      </c>
      <c r="P57" s="11"/>
      <c r="Q57" s="11"/>
      <c r="R57" s="11"/>
      <c r="S57" s="11"/>
    </row>
    <row r="58" spans="2:19" ht="25.5" customHeight="1">
      <c r="B58" s="11"/>
      <c r="C58" s="11"/>
      <c r="D58" s="61" t="s">
        <v>150</v>
      </c>
      <c r="E58" s="62"/>
      <c r="F58" s="62"/>
      <c r="G58" s="62"/>
      <c r="H58" s="62"/>
      <c r="I58" s="62"/>
      <c r="J58" s="62"/>
      <c r="K58" s="62"/>
      <c r="L58" s="63"/>
      <c r="M58" s="9"/>
      <c r="N58" s="11"/>
      <c r="O58" s="37" t="s">
        <v>111</v>
      </c>
      <c r="P58" s="11"/>
      <c r="Q58" s="11"/>
      <c r="R58" s="11"/>
      <c r="S58" s="11"/>
    </row>
    <row r="59" spans="2:19" ht="16.5" customHeight="1">
      <c r="B59" s="11"/>
      <c r="C59" s="11"/>
      <c r="D59" s="39" t="s">
        <v>8</v>
      </c>
      <c r="E59" s="40"/>
      <c r="F59" s="40"/>
      <c r="G59" s="40"/>
      <c r="H59" s="40"/>
      <c r="I59" s="40"/>
      <c r="J59" s="40"/>
      <c r="K59" s="40"/>
      <c r="L59" s="41"/>
      <c r="M59" s="9"/>
      <c r="N59" s="11"/>
      <c r="O59" s="37" t="s">
        <v>74</v>
      </c>
      <c r="P59" s="11"/>
      <c r="Q59" s="11"/>
      <c r="R59" s="11"/>
      <c r="S59" s="11"/>
    </row>
    <row r="60" spans="2:19" ht="16.5" customHeight="1">
      <c r="B60" s="11"/>
      <c r="C60" s="11"/>
      <c r="D60" s="39" t="s">
        <v>66</v>
      </c>
      <c r="E60" s="40"/>
      <c r="F60" s="40"/>
      <c r="G60" s="40"/>
      <c r="H60" s="40"/>
      <c r="I60" s="40"/>
      <c r="J60" s="40"/>
      <c r="K60" s="40"/>
      <c r="L60" s="41"/>
      <c r="M60" s="9"/>
      <c r="N60" s="11"/>
      <c r="O60" s="37" t="s">
        <v>186</v>
      </c>
      <c r="P60" s="11"/>
      <c r="Q60" s="11"/>
      <c r="R60" s="11"/>
      <c r="S60" s="11"/>
    </row>
    <row r="61" spans="2:19" ht="6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37"/>
      <c r="P61" s="11"/>
      <c r="Q61" s="11"/>
      <c r="R61" s="11"/>
      <c r="S61" s="11"/>
    </row>
    <row r="62" spans="1:19" ht="12.75">
      <c r="A62" t="s">
        <v>127</v>
      </c>
      <c r="B62" s="11" t="s">
        <v>69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2:19" ht="5.2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2:19" ht="16.5" customHeight="1">
      <c r="B64" s="11"/>
      <c r="C64" s="11"/>
      <c r="D64" s="11" t="s">
        <v>56</v>
      </c>
      <c r="E64" s="9"/>
      <c r="F64" s="11"/>
      <c r="G64" s="11"/>
      <c r="H64" s="11" t="s">
        <v>57</v>
      </c>
      <c r="I64" s="9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2:19" ht="5.2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2:19" ht="18" customHeight="1">
      <c r="B66" s="11"/>
      <c r="C66" s="11"/>
      <c r="D66" s="35" t="s">
        <v>144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</sheetData>
  <sheetProtection password="8BA9" sheet="1" objects="1" scenarios="1"/>
  <mergeCells count="16">
    <mergeCell ref="R47:S47"/>
    <mergeCell ref="D38:M38"/>
    <mergeCell ref="B6:S6"/>
    <mergeCell ref="D12:I12"/>
    <mergeCell ref="D29:M29"/>
    <mergeCell ref="P29:Q29"/>
    <mergeCell ref="D58:L58"/>
    <mergeCell ref="B31:S31"/>
    <mergeCell ref="D8:N8"/>
    <mergeCell ref="D34:I34"/>
    <mergeCell ref="B43:B44"/>
    <mergeCell ref="B45:B46"/>
    <mergeCell ref="D50:L50"/>
    <mergeCell ref="D51:L51"/>
    <mergeCell ref="D53:L53"/>
    <mergeCell ref="D36:Q36"/>
  </mergeCells>
  <hyperlinks>
    <hyperlink ref="M21" r:id="rId1" display="www.civilservice-pensions.gov.uk/facts_and_figures.aspx"/>
  </hyperlinks>
  <printOptions/>
  <pageMargins left="0.75" right="0.75" top="0.52" bottom="0.53" header="0.5" footer="0.5"/>
  <pageSetup fitToHeight="0" fitToWidth="1" horizontalDpi="600" verticalDpi="600" orientation="landscape" paperSize="9" scale="93" r:id="rId3"/>
  <headerFooter alignWithMargins="0">
    <oddFooter>&amp;CPensions Questionnaire (Rev Sept 2007)</oddFooter>
  </headerFooter>
  <rowBreaks count="1" manualBreakCount="1">
    <brk id="31" max="255" man="1"/>
  </rowBreaks>
  <colBreaks count="1" manualBreakCount="1">
    <brk id="1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Wood</dc:creator>
  <cp:keywords/>
  <dc:description/>
  <cp:lastModifiedBy>Graeme Rowe</cp:lastModifiedBy>
  <cp:lastPrinted>2008-04-07T15:35:51Z</cp:lastPrinted>
  <dcterms:created xsi:type="dcterms:W3CDTF">2007-02-07T17:38:16Z</dcterms:created>
  <dcterms:modified xsi:type="dcterms:W3CDTF">2014-06-29T13:06:48Z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706551462</vt:i4>
  </property>
  <property fmtid="{D5CDD505-2E9C-101B-9397-08002B2CF9AE}" pid="3" name="_EmailSubject">
    <vt:lpwstr>Questionnaire and calculator</vt:lpwstr>
  </property>
  <property fmtid="{D5CDD505-2E9C-101B-9397-08002B2CF9AE}" pid="4" name="_AuthorEmail">
    <vt:lpwstr>sally.cashman@cabinet-office.x.gsi.gov.uk</vt:lpwstr>
  </property>
  <property fmtid="{D5CDD505-2E9C-101B-9397-08002B2CF9AE}" pid="5" name="_AuthorEmailDisplayName">
    <vt:lpwstr>Cashman Sally - CDG -</vt:lpwstr>
  </property>
  <property fmtid="{D5CDD505-2E9C-101B-9397-08002B2CF9AE}" pid="6" name="_PreviousAdHocReviewCycleID">
    <vt:i4>-2113185951</vt:i4>
  </property>
  <property fmtid="{D5CDD505-2E9C-101B-9397-08002B2CF9AE}" pid="7" name="_ReviewingToolsShownOnce">
    <vt:lpwstr/>
  </property>
</Properties>
</file>