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870" yWindow="210" windowWidth="20880" windowHeight="12990"/>
  </bookViews>
  <sheets>
    <sheet name="Request" sheetId="1" r:id="rId1"/>
    <sheet name="Guidance Notes" sheetId="32" r:id="rId2"/>
    <sheet name="Service" sheetId="3" state="hidden" r:id="rId3"/>
    <sheet name="ServiceType" sheetId="25" state="hidden" r:id="rId4"/>
    <sheet name="Scheme" sheetId="2" state="hidden" r:id="rId5"/>
    <sheet name="YesNo" sheetId="5" state="hidden" r:id="rId6"/>
    <sheet name="MaritalStatus" sheetId="6" state="hidden" r:id="rId7"/>
    <sheet name="MarriageMessages" sheetId="24" state="hidden" r:id="rId8"/>
    <sheet name="Gender" sheetId="13" state="hidden" r:id="rId9"/>
    <sheet name="YesNoUnknown" sheetId="18" state="hidden" r:id="rId10"/>
    <sheet name="DISYesNo" sheetId="28" state="hidden" r:id="rId11"/>
    <sheet name="AddInfoList1" sheetId="20" state="hidden" r:id="rId12"/>
    <sheet name="CTI" sheetId="4" state="hidden" r:id="rId13"/>
    <sheet name="CTIcriteria" sheetId="7" state="hidden" r:id="rId14"/>
    <sheet name="NRD" sheetId="8" state="hidden" r:id="rId15"/>
    <sheet name="AlphaNRD" sheetId="14" state="hidden" r:id="rId16"/>
    <sheet name="ARR&amp;AgeValidation" sheetId="9" state="hidden" r:id="rId17"/>
    <sheet name="Additional" sheetId="11" state="hidden" r:id="rId18"/>
    <sheet name="Additional2" sheetId="12" state="hidden" r:id="rId19"/>
    <sheet name="Compensation" sheetId="15" state="hidden" r:id="rId20"/>
    <sheet name="Message1" sheetId="16" state="hidden" r:id="rId21"/>
    <sheet name="Message2" sheetId="29" state="hidden" r:id="rId22"/>
    <sheet name="LDOS" sheetId="22" state="hidden" r:id="rId23"/>
    <sheet name="Death_Sick" sheetId="19" state="hidden" r:id="rId24"/>
    <sheet name="WhiteFont" sheetId="27" state="hidden" r:id="rId25"/>
    <sheet name="FormatValidation" sheetId="10" state="hidden" r:id="rId26"/>
    <sheet name="Info Only CTI Scenarios" sheetId="31" state="hidden" r:id="rId27"/>
  </sheets>
  <definedNames>
    <definedName name="DOB">AlphaNRD!$B$2</definedName>
    <definedName name="_xlnm.Print_Area" localSheetId="0">Request!$B$7:$D$228</definedName>
    <definedName name="Sex">AlphaNRD!$B$3</definedName>
    <definedName name="SPD">AlphaNRD!$E$2</definedName>
  </definedNames>
  <calcPr calcId="145621"/>
</workbook>
</file>

<file path=xl/calcChain.xml><?xml version="1.0" encoding="utf-8"?>
<calcChain xmlns="http://schemas.openxmlformats.org/spreadsheetml/2006/main">
  <c r="C17" i="9" l="1"/>
  <c r="B70" i="1" l="1"/>
  <c r="H5" i="16" l="1"/>
  <c r="J7" i="29"/>
  <c r="C55" i="27" l="1"/>
  <c r="F55" i="27" s="1"/>
  <c r="C54" i="27"/>
  <c r="F54" i="27" s="1"/>
  <c r="C53" i="27"/>
  <c r="F53" i="27" s="1"/>
  <c r="C52" i="27"/>
  <c r="F52" i="27" s="1"/>
  <c r="C28" i="4" l="1"/>
  <c r="B15" i="8" l="1"/>
  <c r="C51" i="27" l="1"/>
  <c r="F51" i="27" s="1"/>
  <c r="C50" i="27" l="1"/>
  <c r="F50" i="27" s="1"/>
  <c r="I124" i="1" l="1"/>
  <c r="C49" i="27" l="1"/>
  <c r="F49" i="27" s="1"/>
  <c r="C48" i="27"/>
  <c r="F48" i="27" s="1"/>
  <c r="C47" i="27"/>
  <c r="F47" i="27" s="1"/>
  <c r="C46" i="27"/>
  <c r="F46" i="27" s="1"/>
  <c r="C44" i="27"/>
  <c r="F44" i="27" s="1"/>
  <c r="C43" i="27"/>
  <c r="F43" i="27" s="1"/>
  <c r="C42" i="27"/>
  <c r="F42" i="27" s="1"/>
  <c r="C41" i="27"/>
  <c r="F41" i="27" s="1"/>
  <c r="C40" i="27"/>
  <c r="F40" i="27" s="1"/>
  <c r="C39" i="27"/>
  <c r="F39" i="27" s="1"/>
  <c r="C38" i="27"/>
  <c r="F38" i="27" s="1"/>
  <c r="C36" i="27"/>
  <c r="F36" i="27" s="1"/>
  <c r="C34" i="27"/>
  <c r="F34" i="27" s="1"/>
  <c r="C30" i="27"/>
  <c r="F30" i="27" s="1"/>
  <c r="C32" i="27"/>
  <c r="F32" i="27" s="1"/>
  <c r="C19" i="27" l="1"/>
  <c r="F15" i="27"/>
  <c r="C13" i="27"/>
  <c r="C8" i="27"/>
  <c r="H5" i="24" l="1"/>
  <c r="H4" i="24"/>
  <c r="H3" i="24"/>
  <c r="H103" i="1"/>
  <c r="H99" i="1"/>
  <c r="H95" i="1"/>
  <c r="H91" i="1"/>
  <c r="H12" i="24" l="1"/>
  <c r="I114" i="1"/>
  <c r="I113" i="1"/>
  <c r="I112" i="1"/>
  <c r="I111" i="1"/>
  <c r="I109" i="1"/>
  <c r="C14" i="9" l="1"/>
  <c r="C19" i="9" s="1"/>
  <c r="B10" i="15" l="1"/>
  <c r="B11" i="15" s="1"/>
  <c r="B4" i="22"/>
  <c r="B5" i="22" s="1"/>
  <c r="H63" i="1"/>
  <c r="H206" i="1"/>
  <c r="I57" i="1" l="1"/>
  <c r="C23" i="9" l="1"/>
  <c r="C25" i="9" l="1"/>
  <c r="AF5" i="10" l="1"/>
  <c r="AF4" i="10"/>
  <c r="B3" i="25"/>
  <c r="B8" i="16" s="1"/>
  <c r="I225" i="1"/>
  <c r="B76" i="1" l="1"/>
  <c r="B72" i="1"/>
  <c r="B134" i="1"/>
  <c r="B4" i="16"/>
  <c r="A2" i="2"/>
  <c r="B9" i="24"/>
  <c r="G7" i="29"/>
  <c r="B7" i="29" s="1"/>
  <c r="B13" i="29" s="1"/>
  <c r="A11" i="2"/>
  <c r="B67" i="1"/>
  <c r="H68" i="1" s="1"/>
  <c r="B130" i="1"/>
  <c r="B59" i="1"/>
  <c r="B6" i="16"/>
  <c r="B126" i="1"/>
  <c r="H126" i="1" s="1"/>
  <c r="F5" i="16"/>
  <c r="B5" i="16" s="1"/>
  <c r="B123" i="1"/>
  <c r="B2" i="20"/>
  <c r="A4" i="20"/>
  <c r="F10" i="27" s="1"/>
  <c r="A3" i="20"/>
  <c r="F9" i="27" s="1"/>
  <c r="A2" i="20"/>
  <c r="F8" i="27" s="1"/>
  <c r="B2" i="22"/>
  <c r="A7" i="2"/>
  <c r="A4" i="2"/>
  <c r="A3" i="2"/>
  <c r="A9" i="2"/>
  <c r="A6" i="2"/>
  <c r="A8" i="2"/>
  <c r="A5" i="2"/>
  <c r="B18" i="29"/>
  <c r="C9" i="9"/>
  <c r="C8" i="9"/>
  <c r="E8" i="2"/>
  <c r="B4" i="20"/>
  <c r="E5" i="2"/>
  <c r="E4" i="2"/>
  <c r="E7" i="2"/>
  <c r="E3" i="2"/>
  <c r="E6" i="2"/>
  <c r="E2" i="2"/>
  <c r="A2" i="28"/>
  <c r="F14" i="27" s="1"/>
  <c r="A1" i="28"/>
  <c r="F13" i="27" s="1"/>
  <c r="C4" i="27"/>
  <c r="B3" i="20"/>
  <c r="B138" i="1"/>
  <c r="H138" i="1" s="1"/>
  <c r="I138" i="1" s="1"/>
  <c r="B3" i="22"/>
  <c r="B6" i="22" s="1"/>
  <c r="B7" i="22" s="1"/>
  <c r="B8" i="22" s="1"/>
  <c r="H27" i="1" s="1"/>
  <c r="B7" i="24"/>
  <c r="B5" i="24"/>
  <c r="B14" i="7"/>
  <c r="C4" i="12"/>
  <c r="B6" i="24"/>
  <c r="B2" i="11"/>
  <c r="C3" i="19"/>
  <c r="B3" i="24"/>
  <c r="C3" i="15"/>
  <c r="C4" i="19"/>
  <c r="D4" i="19" s="1"/>
  <c r="B4" i="24"/>
  <c r="B8" i="24"/>
  <c r="C4" i="15"/>
  <c r="G3" i="19"/>
  <c r="G8" i="19" s="1"/>
  <c r="E30" i="27" l="1"/>
  <c r="G30" i="27" s="1"/>
  <c r="H30" i="27" s="1"/>
  <c r="H130" i="1"/>
  <c r="I130" i="1" s="1"/>
  <c r="E53" i="27"/>
  <c r="G53" i="27" s="1"/>
  <c r="H53" i="27" s="1"/>
  <c r="E52" i="27"/>
  <c r="G52" i="27" s="1"/>
  <c r="H52" i="27" s="1"/>
  <c r="E55" i="27"/>
  <c r="G55" i="27" s="1"/>
  <c r="H55" i="27" s="1"/>
  <c r="E54" i="27"/>
  <c r="G54" i="27" s="1"/>
  <c r="H54" i="27" s="1"/>
  <c r="E4" i="9"/>
  <c r="E32" i="27"/>
  <c r="G32" i="27" s="1"/>
  <c r="H32" i="27" s="1"/>
  <c r="D13" i="27"/>
  <c r="H13" i="27" s="1"/>
  <c r="D8" i="27"/>
  <c r="H8" i="27" s="1"/>
  <c r="I212" i="1"/>
  <c r="H210" i="1"/>
  <c r="I210" i="1" s="1"/>
  <c r="I195" i="1"/>
  <c r="H193" i="1"/>
  <c r="I193" i="1" s="1"/>
  <c r="I88" i="1"/>
  <c r="I87" i="1"/>
  <c r="I86" i="1"/>
  <c r="B3" i="11" l="1"/>
  <c r="C3" i="12"/>
  <c r="D6" i="24"/>
  <c r="D5" i="24"/>
  <c r="D4" i="24"/>
  <c r="D3" i="24"/>
  <c r="I126" i="1"/>
  <c r="B12" i="24" l="1"/>
  <c r="D12" i="24"/>
  <c r="B15" i="24" l="1"/>
  <c r="B84" i="1" s="1"/>
  <c r="B14" i="24"/>
  <c r="B80" i="1" s="1"/>
  <c r="B3" i="14"/>
  <c r="E34" i="27" l="1"/>
  <c r="G34" i="27" s="1"/>
  <c r="H34" i="27" s="1"/>
  <c r="H80" i="1"/>
  <c r="E36" i="27"/>
  <c r="G36" i="27" s="1"/>
  <c r="H36" i="27" s="1"/>
  <c r="A7" i="6"/>
  <c r="F25" i="27" s="1"/>
  <c r="A3" i="6"/>
  <c r="F21" i="27" s="1"/>
  <c r="A5" i="6"/>
  <c r="F23" i="27" s="1"/>
  <c r="A4" i="6"/>
  <c r="F22" i="27" s="1"/>
  <c r="A6" i="6"/>
  <c r="F24" i="27" s="1"/>
  <c r="A2" i="6"/>
  <c r="F20" i="27" s="1"/>
  <c r="A1" i="6"/>
  <c r="F19" i="27" s="1"/>
  <c r="D19" i="27" l="1"/>
  <c r="H19" i="27" s="1"/>
  <c r="I25" i="1"/>
  <c r="I49" i="1"/>
  <c r="I61" i="1"/>
  <c r="I78" i="1"/>
  <c r="I34" i="1"/>
  <c r="I35" i="1"/>
  <c r="I36" i="1"/>
  <c r="I37" i="1"/>
  <c r="I41" i="1"/>
  <c r="I45" i="1"/>
  <c r="I53" i="1"/>
  <c r="I65" i="1"/>
  <c r="I80" i="1"/>
  <c r="I82" i="1"/>
  <c r="I67" i="1"/>
  <c r="I70" i="1"/>
  <c r="I72" i="1"/>
  <c r="I74" i="1"/>
  <c r="I76" i="1"/>
  <c r="I89" i="1"/>
  <c r="I91" i="1"/>
  <c r="I93" i="1"/>
  <c r="I95" i="1"/>
  <c r="I97" i="1"/>
  <c r="I99" i="1"/>
  <c r="I101" i="1"/>
  <c r="I120" i="1"/>
  <c r="I189" i="1"/>
  <c r="I190" i="1"/>
  <c r="I191" i="1"/>
  <c r="I196" i="1"/>
  <c r="I200" i="1"/>
  <c r="I204" i="1"/>
  <c r="I208" i="1"/>
  <c r="I121" i="1"/>
  <c r="I144" i="1"/>
  <c r="I148" i="1"/>
  <c r="I152" i="1"/>
  <c r="I156" i="1"/>
  <c r="I160" i="1"/>
  <c r="I164" i="1"/>
  <c r="I168" i="1"/>
  <c r="I170" i="1"/>
  <c r="I172" i="1"/>
  <c r="I176" i="1"/>
  <c r="I180" i="1"/>
  <c r="I184" i="1"/>
  <c r="I186" i="1"/>
  <c r="AC5" i="10" l="1"/>
  <c r="AC4" i="10"/>
  <c r="Z5" i="10"/>
  <c r="Z4" i="10"/>
  <c r="W5" i="10"/>
  <c r="W4" i="10"/>
  <c r="S5" i="10"/>
  <c r="S4" i="10"/>
  <c r="O4" i="10"/>
  <c r="C27" i="4"/>
  <c r="C26" i="4"/>
  <c r="C25" i="4"/>
  <c r="C24" i="4"/>
  <c r="E5" i="7"/>
  <c r="F5" i="7" s="1"/>
  <c r="W8" i="10" l="1"/>
  <c r="W16" i="10" s="1"/>
  <c r="AF8" i="10"/>
  <c r="AF16" i="10" s="1"/>
  <c r="E138" i="1" s="1"/>
  <c r="S8" i="10"/>
  <c r="S16" i="10" s="1"/>
  <c r="E84" i="1" s="1"/>
  <c r="Z8" i="10"/>
  <c r="Z16" i="10" s="1"/>
  <c r="AC8" i="10"/>
  <c r="AC16" i="10" s="1"/>
  <c r="I27" i="1"/>
  <c r="E130" i="1" l="1"/>
  <c r="H59" i="1"/>
  <c r="I59" i="1" s="1"/>
  <c r="I68" i="1"/>
  <c r="H39" i="1"/>
  <c r="I39" i="1" s="1"/>
  <c r="H23" i="1" l="1"/>
  <c r="I23" i="1" s="1"/>
  <c r="D3" i="19"/>
  <c r="H34" i="7"/>
  <c r="C9" i="4"/>
  <c r="C8" i="19" l="1"/>
  <c r="C7" i="19"/>
  <c r="B11" i="19" l="1"/>
  <c r="B27" i="1" s="1"/>
  <c r="E51" i="27" l="1"/>
  <c r="G51" i="27" s="1"/>
  <c r="H51" i="27" s="1"/>
  <c r="C2" i="12" l="1"/>
  <c r="C22" i="4" l="1"/>
  <c r="C21" i="4"/>
  <c r="C20" i="4"/>
  <c r="C19" i="4"/>
  <c r="C18" i="4"/>
  <c r="C17" i="4"/>
  <c r="C16" i="4"/>
  <c r="C15" i="4"/>
  <c r="C13" i="4"/>
  <c r="C12" i="4"/>
  <c r="C8" i="4"/>
  <c r="C7" i="4"/>
  <c r="C14" i="4"/>
  <c r="C11" i="4"/>
  <c r="C5" i="4"/>
  <c r="C6" i="15" l="1"/>
  <c r="H55" i="1"/>
  <c r="I55" i="1" s="1"/>
  <c r="H51" i="1"/>
  <c r="I51" i="1" s="1"/>
  <c r="H4" i="10"/>
  <c r="D4" i="10"/>
  <c r="H107" i="1"/>
  <c r="I107" i="1" s="1"/>
  <c r="H202" i="1"/>
  <c r="I202" i="1" s="1"/>
  <c r="I206" i="1"/>
  <c r="H198" i="1"/>
  <c r="I198" i="1" s="1"/>
  <c r="B14" i="16" l="1"/>
  <c r="B8" i="15"/>
  <c r="B118" i="1" s="1"/>
  <c r="B9" i="15"/>
  <c r="H118" i="1" s="1"/>
  <c r="I118" i="1" s="1"/>
  <c r="C13" i="9"/>
  <c r="B16" i="8"/>
  <c r="E2" i="8" s="1"/>
  <c r="B2" i="14"/>
  <c r="I2" i="14" l="1"/>
  <c r="H2" i="14"/>
  <c r="M2" i="14"/>
  <c r="I63" i="1"/>
  <c r="E50" i="27"/>
  <c r="G50" i="27" s="1"/>
  <c r="H50" i="27" s="1"/>
  <c r="E9" i="8"/>
  <c r="H6" i="8"/>
  <c r="C5" i="9" s="1"/>
  <c r="D5" i="9" s="1"/>
  <c r="C18" i="9"/>
  <c r="E6" i="8"/>
  <c r="C4" i="8"/>
  <c r="C5" i="8"/>
  <c r="E7" i="8"/>
  <c r="E10" i="8"/>
  <c r="E3" i="8"/>
  <c r="E4" i="8"/>
  <c r="E8" i="8"/>
  <c r="C3" i="8"/>
  <c r="C2" i="8"/>
  <c r="E5" i="8"/>
  <c r="E2" i="14" l="1"/>
  <c r="E3" i="14" s="1"/>
  <c r="C8" i="8" s="1"/>
  <c r="E10" i="2"/>
  <c r="A10" i="2" s="1"/>
  <c r="C27" i="10"/>
  <c r="H27" i="10" s="1"/>
  <c r="C10" i="8" l="1"/>
  <c r="C6" i="8"/>
  <c r="C9" i="8"/>
  <c r="C7" i="8"/>
  <c r="C21" i="10"/>
  <c r="H21" i="10" s="1"/>
  <c r="C26" i="10"/>
  <c r="H26" i="10" s="1"/>
  <c r="C25" i="10"/>
  <c r="H25" i="10" s="1"/>
  <c r="C24" i="10"/>
  <c r="H24" i="10" s="1"/>
  <c r="C23" i="10"/>
  <c r="H23" i="10" s="1"/>
  <c r="C22" i="10"/>
  <c r="H22" i="10" s="1"/>
  <c r="C20" i="10"/>
  <c r="H20" i="10" s="1"/>
  <c r="C19" i="10"/>
  <c r="H19" i="10" s="1"/>
  <c r="C15" i="8" l="1"/>
  <c r="B3" i="7" s="1"/>
  <c r="E22" i="10"/>
  <c r="E26" i="10"/>
  <c r="E21" i="10"/>
  <c r="E24" i="10"/>
  <c r="E25" i="10"/>
  <c r="E23" i="10"/>
  <c r="E27" i="10"/>
  <c r="E19" i="10"/>
  <c r="E20" i="10"/>
  <c r="D19" i="10"/>
  <c r="F19" i="10"/>
  <c r="D27" i="10"/>
  <c r="F27" i="10"/>
  <c r="F23" i="10"/>
  <c r="D24" i="10"/>
  <c r="F24" i="10"/>
  <c r="D20" i="10"/>
  <c r="F20" i="10"/>
  <c r="D25" i="10"/>
  <c r="F25" i="10"/>
  <c r="F22" i="10"/>
  <c r="F26" i="10"/>
  <c r="D23" i="10"/>
  <c r="F21" i="10"/>
  <c r="D21" i="10"/>
  <c r="D26" i="10"/>
  <c r="D22" i="10"/>
  <c r="G24" i="10" l="1"/>
  <c r="G22" i="10"/>
  <c r="G21" i="10"/>
  <c r="G26" i="10"/>
  <c r="G23" i="10"/>
  <c r="G25" i="10"/>
  <c r="G27" i="10"/>
  <c r="G20" i="10"/>
  <c r="G19" i="10"/>
  <c r="B29" i="10"/>
  <c r="E6" i="10" s="1"/>
  <c r="D6" i="10" s="1"/>
  <c r="H24" i="7"/>
  <c r="H25" i="7"/>
  <c r="H26" i="7"/>
  <c r="H27" i="7"/>
  <c r="H28" i="7"/>
  <c r="H29" i="7"/>
  <c r="H30" i="7"/>
  <c r="H31" i="7"/>
  <c r="H32" i="7"/>
  <c r="H33" i="7"/>
  <c r="C2" i="9" l="1"/>
  <c r="G2" i="11"/>
  <c r="B14" i="8"/>
  <c r="C3" i="9" l="1"/>
  <c r="D3" i="9" s="1"/>
  <c r="G5" i="9" s="1"/>
  <c r="C4" i="9"/>
  <c r="D4" i="9" s="1"/>
  <c r="C16" i="9"/>
  <c r="C20" i="9" s="1"/>
  <c r="I5" i="9"/>
  <c r="B10" i="11"/>
  <c r="K5" i="9" l="1"/>
  <c r="D6" i="9"/>
  <c r="D7" i="9"/>
  <c r="O5" i="10"/>
  <c r="H5" i="10"/>
  <c r="L5" i="9" l="1"/>
  <c r="C29" i="9" s="1"/>
  <c r="O8" i="10"/>
  <c r="O16" i="10" l="1"/>
  <c r="E27" i="1" s="1"/>
  <c r="C6" i="12"/>
  <c r="C7" i="12"/>
  <c r="H8" i="10"/>
  <c r="B178" i="1" l="1"/>
  <c r="H178" i="1" s="1"/>
  <c r="B186" i="1"/>
  <c r="E49" i="27" s="1"/>
  <c r="G49" i="27" s="1"/>
  <c r="H49" i="27" s="1"/>
  <c r="B170" i="1"/>
  <c r="B174" i="1"/>
  <c r="H174" i="1" s="1"/>
  <c r="B182" i="1"/>
  <c r="B116" i="1"/>
  <c r="H16" i="10"/>
  <c r="E51" i="1" s="1"/>
  <c r="E48" i="27" l="1"/>
  <c r="G48" i="27" s="1"/>
  <c r="H48" i="27" s="1"/>
  <c r="H182" i="1"/>
  <c r="I182" i="1" s="1"/>
  <c r="I174" i="1"/>
  <c r="E46" i="27"/>
  <c r="G46" i="27" s="1"/>
  <c r="H46" i="27" s="1"/>
  <c r="I178" i="1"/>
  <c r="E47" i="27"/>
  <c r="G47" i="27" s="1"/>
  <c r="H47" i="27" s="1"/>
  <c r="B53" i="1"/>
  <c r="B7" i="11"/>
  <c r="D5" i="10"/>
  <c r="B150" i="1" l="1"/>
  <c r="B166" i="1"/>
  <c r="B162" i="1"/>
  <c r="B146" i="1"/>
  <c r="H146" i="1" s="1"/>
  <c r="B158" i="1"/>
  <c r="B142" i="1"/>
  <c r="H142" i="1" s="1"/>
  <c r="B154" i="1"/>
  <c r="I166" i="1"/>
  <c r="B121" i="1"/>
  <c r="D8" i="10"/>
  <c r="D16" i="10" s="1"/>
  <c r="E44" i="27" l="1"/>
  <c r="G44" i="27" s="1"/>
  <c r="H44" i="27" s="1"/>
  <c r="E40" i="27"/>
  <c r="G40" i="27" s="1"/>
  <c r="H40" i="27" s="1"/>
  <c r="H150" i="1"/>
  <c r="I150" i="1" s="1"/>
  <c r="E42" i="27"/>
  <c r="G42" i="27" s="1"/>
  <c r="H42" i="27" s="1"/>
  <c r="H158" i="1"/>
  <c r="I158" i="1" s="1"/>
  <c r="E41" i="27"/>
  <c r="G41" i="27" s="1"/>
  <c r="H41" i="27" s="1"/>
  <c r="H154" i="1"/>
  <c r="I154" i="1" s="1"/>
  <c r="E43" i="27"/>
  <c r="G43" i="27" s="1"/>
  <c r="H43" i="27" s="1"/>
  <c r="I162" i="1"/>
  <c r="I142" i="1"/>
  <c r="E38" i="27"/>
  <c r="G38" i="27" s="1"/>
  <c r="H38" i="27" s="1"/>
  <c r="I146" i="1"/>
  <c r="E39" i="27"/>
  <c r="G39" i="27" s="1"/>
  <c r="H39" i="27" s="1"/>
  <c r="C12" i="9"/>
  <c r="D8" i="9" s="1"/>
  <c r="E55" i="1" l="1"/>
  <c r="D9" i="9" l="1"/>
  <c r="D10" i="9" s="1"/>
  <c r="B16" i="16" s="1"/>
  <c r="B5" i="7"/>
  <c r="B2" i="7"/>
  <c r="H31" i="1"/>
  <c r="I31" i="1" s="1"/>
  <c r="H43" i="1"/>
  <c r="I43" i="1" s="1"/>
  <c r="H47" i="1"/>
  <c r="I47" i="1" s="1"/>
  <c r="C28" i="9" l="1"/>
  <c r="I223" i="1"/>
  <c r="B2" i="1" s="1"/>
  <c r="C5" i="7"/>
  <c r="H5" i="7" s="1"/>
  <c r="B4" i="7"/>
  <c r="C31" i="9" l="1"/>
  <c r="B7" i="16" s="1"/>
  <c r="I224" i="1"/>
  <c r="C23" i="7"/>
  <c r="C22" i="7"/>
  <c r="B20" i="7"/>
  <c r="D20" i="7" s="1"/>
  <c r="H20" i="7" s="1"/>
  <c r="B23" i="7"/>
  <c r="B22" i="7"/>
  <c r="B8" i="7"/>
  <c r="B10" i="7" s="1"/>
  <c r="B21" i="7"/>
  <c r="D21" i="7" s="1"/>
  <c r="H21" i="7" s="1"/>
  <c r="B11" i="16" l="1"/>
  <c r="B3" i="1" s="1"/>
  <c r="B19" i="29"/>
  <c r="B4" i="1" s="1"/>
  <c r="D22" i="7"/>
  <c r="H22" i="7" s="1"/>
  <c r="D23" i="7"/>
  <c r="H23" i="7" s="1"/>
  <c r="B16" i="7" s="1"/>
  <c r="C223" i="1" s="1"/>
  <c r="C227" i="1" s="1"/>
</calcChain>
</file>

<file path=xl/sharedStrings.xml><?xml version="1.0" encoding="utf-8"?>
<sst xmlns="http://schemas.openxmlformats.org/spreadsheetml/2006/main" count="918" uniqueCount="495">
  <si>
    <t>Scheme</t>
  </si>
  <si>
    <t>Classic</t>
  </si>
  <si>
    <t>Premium</t>
  </si>
  <si>
    <t>Classic Plus</t>
  </si>
  <si>
    <t>No</t>
  </si>
  <si>
    <t>Yes</t>
  </si>
  <si>
    <t>Nuvos</t>
  </si>
  <si>
    <t>Divorced</t>
  </si>
  <si>
    <t>Widowed</t>
  </si>
  <si>
    <t>Unknown</t>
  </si>
  <si>
    <t>NI number</t>
  </si>
  <si>
    <t>Quote-Age Retirement</t>
  </si>
  <si>
    <t>Quote-Leaver-2 or more years service</t>
  </si>
  <si>
    <t>Quote-Leaver-Less than years service</t>
  </si>
  <si>
    <t>Quote-Efficiency Dismissal (Compensation)</t>
  </si>
  <si>
    <t>Quote-Efficiency Dismissal (No Compensation)</t>
  </si>
  <si>
    <t>Retirement-Quote</t>
  </si>
  <si>
    <t>Blank</t>
  </si>
  <si>
    <t>YQuote-Leaver-2 or more years service</t>
  </si>
  <si>
    <t>YQuote-Leaver-Less than years service</t>
  </si>
  <si>
    <t>Quote-Early Retirement ARR</t>
  </si>
  <si>
    <t>Retirement-ARR Quote</t>
  </si>
  <si>
    <t>Quote Indicator 1</t>
  </si>
  <si>
    <t>Leaver-Member Over 24 Months-Quote</t>
  </si>
  <si>
    <t>Leaver-Member Over 3 Months-Quote</t>
  </si>
  <si>
    <t>Leaver-Inefficiency Dismissal with Comp-Quote</t>
  </si>
  <si>
    <t xml:space="preserve">Scheme </t>
  </si>
  <si>
    <t>Member NRD</t>
  </si>
  <si>
    <t>Member NRD Age</t>
  </si>
  <si>
    <t>LDOS</t>
  </si>
  <si>
    <t>YQuote-Efficiency Dismissal (Compensation)</t>
  </si>
  <si>
    <t>YQuote-Efficiency Dismissal (No Compensation)</t>
  </si>
  <si>
    <t>Quote-Ill Health Retirement</t>
  </si>
  <si>
    <t>Retirement-Quote - Ill Health</t>
  </si>
  <si>
    <t>YQuote-Ill Health Retirement</t>
  </si>
  <si>
    <t>Alpha</t>
  </si>
  <si>
    <t>Quote-Death-in-Service</t>
  </si>
  <si>
    <t>Estimate-Death</t>
  </si>
  <si>
    <t>Sick Pay at Pension Rate</t>
  </si>
  <si>
    <t>Quote-Early Retirement (ARR)</t>
  </si>
  <si>
    <t>Quote-Efficiency Dismissal (no compensation)</t>
  </si>
  <si>
    <t>Quote-Efficiency Dismissal (no compensation)-2 or more years service</t>
  </si>
  <si>
    <t>Quote-Efficiency Dismissal (no compensation)-less than 2 years service</t>
  </si>
  <si>
    <t>Quote-Leaver-less than 2 years service</t>
  </si>
  <si>
    <t>Pass(0) / Fail(1)</t>
  </si>
  <si>
    <t>Age (NRD)</t>
  </si>
  <si>
    <t>Member Age</t>
  </si>
  <si>
    <t>Field</t>
  </si>
  <si>
    <t>Check</t>
  </si>
  <si>
    <t>Check1</t>
  </si>
  <si>
    <t>Check2</t>
  </si>
  <si>
    <t>Message</t>
  </si>
  <si>
    <t>Sum</t>
  </si>
  <si>
    <t>NI number should be 9 Characters!</t>
  </si>
  <si>
    <t>Additional Information</t>
  </si>
  <si>
    <t>Message Box 1</t>
  </si>
  <si>
    <t>Not Classic</t>
  </si>
  <si>
    <t>Death Ben Form</t>
  </si>
  <si>
    <t>Quote-Death in service</t>
  </si>
  <si>
    <t>Additional2</t>
  </si>
  <si>
    <t>DOB</t>
  </si>
  <si>
    <t>DOB should be DD/MM/YYYY!</t>
  </si>
  <si>
    <t xml:space="preserve"> </t>
  </si>
  <si>
    <t>min Age (ARR)</t>
  </si>
  <si>
    <t>Dual(Classic/Alpha)</t>
  </si>
  <si>
    <t>Dual(Classic Plus/Alpha)</t>
  </si>
  <si>
    <t>Dual(Premium/Alpha)</t>
  </si>
  <si>
    <t>Dual(Nuvos/Alpha)</t>
  </si>
  <si>
    <t>&lt;-N OR ""</t>
  </si>
  <si>
    <t>Control Indicator</t>
  </si>
  <si>
    <t>Leaving Terms Chosen</t>
  </si>
  <si>
    <t>Category</t>
  </si>
  <si>
    <t>Operational-Retirement-Quote</t>
  </si>
  <si>
    <t>Operational-Retirement-Quote-Ill Health</t>
  </si>
  <si>
    <t>Operational-Death-Notification</t>
  </si>
  <si>
    <t>Operational-Leaver-Inefficiency Dismissal With Comp-Quote</t>
  </si>
  <si>
    <t>Estimate-Sick Pay</t>
  </si>
  <si>
    <t>NQuote-Efficiency Dismissal (no compensation)-less than 2 years service</t>
  </si>
  <si>
    <t>Operational-Leaver-Member Over 3 Months-Quote</t>
  </si>
  <si>
    <t>Operational-Leaver-Member Over 24 Months-Quote</t>
  </si>
  <si>
    <t>NQuote-Efficiency Dismissal (no compensation)-2 or more years service</t>
  </si>
  <si>
    <t>NQuote-Leaver-2 or more years service</t>
  </si>
  <si>
    <t>NPQuote-Leaver-2 or more years service</t>
  </si>
  <si>
    <t>PQuote-Leaver-2 or more years service</t>
  </si>
  <si>
    <t>PQuote-Leaver-less than 2 years service</t>
  </si>
  <si>
    <t>NQuote-Leaver-less than 2 years service</t>
  </si>
  <si>
    <t>NPQuote-Leaver-less than 2 years service</t>
  </si>
  <si>
    <t>Categorised Leaving Terms</t>
  </si>
  <si>
    <t>CTI</t>
  </si>
  <si>
    <t>Key Event Date</t>
  </si>
  <si>
    <t>N/A</t>
  </si>
  <si>
    <t>Char1</t>
  </si>
  <si>
    <t>Char2</t>
  </si>
  <si>
    <t>Char3</t>
  </si>
  <si>
    <t>Char4</t>
  </si>
  <si>
    <t>Char5</t>
  </si>
  <si>
    <t>Char6</t>
  </si>
  <si>
    <t>Char7</t>
  </si>
  <si>
    <t>Char8</t>
  </si>
  <si>
    <t>Char9</t>
  </si>
  <si>
    <t>Istext</t>
  </si>
  <si>
    <t>Isnumber</t>
  </si>
  <si>
    <t>Pass(True) / Fail(False)</t>
  </si>
  <si>
    <t>A</t>
  </si>
  <si>
    <t>B</t>
  </si>
  <si>
    <t>C</t>
  </si>
  <si>
    <t>D</t>
  </si>
  <si>
    <t>E</t>
  </si>
  <si>
    <t>F</t>
  </si>
  <si>
    <t>G</t>
  </si>
  <si>
    <t>H</t>
  </si>
  <si>
    <t>I</t>
  </si>
  <si>
    <t>J</t>
  </si>
  <si>
    <t>K</t>
  </si>
  <si>
    <t>L</t>
  </si>
  <si>
    <t>M</t>
  </si>
  <si>
    <t>N</t>
  </si>
  <si>
    <t>O</t>
  </si>
  <si>
    <t>P</t>
  </si>
  <si>
    <t>Q</t>
  </si>
  <si>
    <t>R</t>
  </si>
  <si>
    <t>S</t>
  </si>
  <si>
    <t>T</t>
  </si>
  <si>
    <t>U</t>
  </si>
  <si>
    <t>V</t>
  </si>
  <si>
    <t>W</t>
  </si>
  <si>
    <t>X</t>
  </si>
  <si>
    <t>Y</t>
  </si>
  <si>
    <t>Z</t>
  </si>
  <si>
    <t>!</t>
  </si>
  <si>
    <t>"</t>
  </si>
  <si>
    <t>£</t>
  </si>
  <si>
    <t>$</t>
  </si>
  <si>
    <t>%</t>
  </si>
  <si>
    <t>^</t>
  </si>
  <si>
    <t>&amp;</t>
  </si>
  <si>
    <t>*</t>
  </si>
  <si>
    <t>(</t>
  </si>
  <si>
    <t>)</t>
  </si>
  <si>
    <t>\</t>
  </si>
  <si>
    <t>/</t>
  </si>
  <si>
    <t>?</t>
  </si>
  <si>
    <t>&gt;</t>
  </si>
  <si>
    <t>&lt;</t>
  </si>
  <si>
    <t>PASS</t>
  </si>
  <si>
    <t>FAIL</t>
  </si>
  <si>
    <t>3</t>
  </si>
  <si>
    <t>4</t>
  </si>
  <si>
    <t>9</t>
  </si>
  <si>
    <t>8</t>
  </si>
  <si>
    <t>7</t>
  </si>
  <si>
    <t>6</t>
  </si>
  <si>
    <t>5</t>
  </si>
  <si>
    <t>2</t>
  </si>
  <si>
    <t>1</t>
  </si>
  <si>
    <t>0</t>
  </si>
  <si>
    <t>Quote-Efficiency Dismissal (with compensation)</t>
  </si>
  <si>
    <t>By completing this form you are confirming to the best of your knowledge, the information provided is both complete and correct.</t>
  </si>
  <si>
    <t>Male</t>
  </si>
  <si>
    <t>Female</t>
  </si>
  <si>
    <t>SPD</t>
  </si>
  <si>
    <t>Sex</t>
  </si>
  <si>
    <t>alpha NPD</t>
  </si>
  <si>
    <t>SPDate</t>
  </si>
  <si>
    <t>The lookup tables for transitional changes to state pension age, returns date state pension age reached</t>
  </si>
  <si>
    <t>refSPD_F_60_65</t>
  </si>
  <si>
    <t>refSPD_65_66</t>
  </si>
  <si>
    <t>refSPD_66_67</t>
  </si>
  <si>
    <t>refSPD_67_68</t>
  </si>
  <si>
    <t xml:space="preserve">Date </t>
  </si>
  <si>
    <t>Date</t>
  </si>
  <si>
    <t>Lower bound date</t>
  </si>
  <si>
    <t>Comp Types</t>
  </si>
  <si>
    <t>Estimate-Efficiency Dismissal (with compensation)</t>
  </si>
  <si>
    <t>Mandatory Warning</t>
  </si>
  <si>
    <t>Operational-Estimate-Dismissal-Quote</t>
  </si>
  <si>
    <t>Operational-Estimate-Ill Health-Quote</t>
  </si>
  <si>
    <t>Operational-Retirement-ARR-Quote</t>
  </si>
  <si>
    <t>Operational-Enquiry-Death Projection</t>
  </si>
  <si>
    <t>Display Ineligible Message?</t>
  </si>
  <si>
    <t>Completed Yet</t>
  </si>
  <si>
    <t>Med Cert -&gt;</t>
  </si>
  <si>
    <t>Marriage End Date</t>
  </si>
  <si>
    <r>
      <t xml:space="preserve">Title </t>
    </r>
    <r>
      <rPr>
        <sz val="10"/>
        <rFont val="Arial"/>
        <family val="2"/>
      </rPr>
      <t>*</t>
    </r>
  </si>
  <si>
    <r>
      <t xml:space="preserve">First name </t>
    </r>
    <r>
      <rPr>
        <sz val="10"/>
        <rFont val="Arial"/>
        <family val="2"/>
      </rPr>
      <t>*</t>
    </r>
  </si>
  <si>
    <r>
      <t xml:space="preserve">Surname </t>
    </r>
    <r>
      <rPr>
        <sz val="10"/>
        <rFont val="Arial"/>
        <family val="2"/>
      </rPr>
      <t>*</t>
    </r>
  </si>
  <si>
    <r>
      <t xml:space="preserve">NI number </t>
    </r>
    <r>
      <rPr>
        <sz val="10"/>
        <rFont val="Arial"/>
        <family val="2"/>
      </rPr>
      <t>*</t>
    </r>
  </si>
  <si>
    <r>
      <t xml:space="preserve">Telephone number </t>
    </r>
    <r>
      <rPr>
        <sz val="10"/>
        <rFont val="Arial"/>
        <family val="2"/>
      </rPr>
      <t>*</t>
    </r>
  </si>
  <si>
    <t>Show info message</t>
  </si>
  <si>
    <t>Quote-Ill-Health Retirement</t>
  </si>
  <si>
    <t>Ineligible -&gt; (Removed v9)</t>
  </si>
  <si>
    <t>Quote-Divorce</t>
  </si>
  <si>
    <t>Operational-Divorce-CETV-Quote</t>
  </si>
  <si>
    <t>Death Types</t>
  </si>
  <si>
    <t>Sick Types</t>
  </si>
  <si>
    <t>Key Date field heading</t>
  </si>
  <si>
    <t>Death heading-&gt;</t>
  </si>
  <si>
    <t>Sick Pay heading-&gt;</t>
  </si>
  <si>
    <t>Pass/Fail ARR</t>
  </si>
  <si>
    <t>Pass/Fail Age</t>
  </si>
  <si>
    <t>Age Quote? Y/N</t>
  </si>
  <si>
    <t>ARR Quote? Y/N</t>
  </si>
  <si>
    <t>Format should be DD/MM/YYYY!</t>
  </si>
  <si>
    <t>Unknown Previous PCSPS</t>
  </si>
  <si>
    <t>NUQuote-Leaver-2 or more years service</t>
  </si>
  <si>
    <t>UQuote-Leaver-2 or more years service</t>
  </si>
  <si>
    <t>UQuote-Leaver-less than 2 years service</t>
  </si>
  <si>
    <t>NUQuote-Leaver-less than 2 years service</t>
  </si>
  <si>
    <t>Date Completed</t>
  </si>
  <si>
    <t>Death Ben Date</t>
  </si>
  <si>
    <t>Marriage Start Date</t>
  </si>
  <si>
    <t>Date of Separation</t>
  </si>
  <si>
    <t>Message-&gt;</t>
  </si>
  <si>
    <t>Further investigation required into member's previous PCSPS service in order to allocate case to correct CTI</t>
  </si>
  <si>
    <t>(if applicable)</t>
  </si>
  <si>
    <t>Post NRD indicator</t>
  </si>
  <si>
    <t>Estimate-Ill Health Retirement</t>
  </si>
  <si>
    <t>Leaving Terms</t>
  </si>
  <si>
    <t>Schemes</t>
  </si>
  <si>
    <t>NOK details known</t>
  </si>
  <si>
    <t>Removed on June 27th</t>
  </si>
  <si>
    <t xml:space="preserve">Name of employer / organisation * </t>
  </si>
  <si>
    <r>
      <t xml:space="preserve">Date </t>
    </r>
    <r>
      <rPr>
        <sz val="10"/>
        <rFont val="Arial"/>
        <family val="2"/>
      </rPr>
      <t>*</t>
    </r>
  </si>
  <si>
    <r>
      <t xml:space="preserve">Is the member male or female? </t>
    </r>
    <r>
      <rPr>
        <sz val="10"/>
        <rFont val="Arial"/>
        <family val="2"/>
      </rPr>
      <t>*</t>
    </r>
  </si>
  <si>
    <t>Service Description</t>
  </si>
  <si>
    <t>This is to hold the service type rather than the long description. All subsequent internal lookups will refer to this.</t>
  </si>
  <si>
    <t>A death benefits estimate</t>
  </si>
  <si>
    <t>An ill-health retirement estimate</t>
  </si>
  <si>
    <t>An efficiency dismissal with compensation estimate</t>
  </si>
  <si>
    <t>A Normal Pension Age (NPA) retirement quote</t>
  </si>
  <si>
    <t>A divorce quote</t>
  </si>
  <si>
    <t>An efficiency dismissal with compensation quote</t>
  </si>
  <si>
    <t>An efficiency dismissal quote without compensation, for a member who has two or more years service</t>
  </si>
  <si>
    <t>An efficiency dismissal quote without compensation, for a member who has less than two years service</t>
  </si>
  <si>
    <t>An ill-health retirement quote</t>
  </si>
  <si>
    <t>A leaver quote for a member who has less than two years service</t>
  </si>
  <si>
    <t>A sick pay at pension rate estimate</t>
  </si>
  <si>
    <t>classic</t>
  </si>
  <si>
    <t>Request</t>
  </si>
  <si>
    <t>. Please refer to the guidance notes for further details.</t>
  </si>
  <si>
    <t>Service Type (Internal use only)</t>
  </si>
  <si>
    <t xml:space="preserve">Which service do you require? * </t>
  </si>
  <si>
    <r>
      <t xml:space="preserve">Member's date of birth (DD/MM/YYYY) </t>
    </r>
    <r>
      <rPr>
        <sz val="10"/>
        <rFont val="Arial"/>
        <family val="2"/>
      </rPr>
      <t>*</t>
    </r>
  </si>
  <si>
    <r>
      <t xml:space="preserve">Name of person submitting form </t>
    </r>
    <r>
      <rPr>
        <sz val="10"/>
        <rFont val="Arial"/>
        <family val="2"/>
      </rPr>
      <t>*</t>
    </r>
  </si>
  <si>
    <t>The member's age at their last day of service means that the member is ineligible for a</t>
  </si>
  <si>
    <t>CTI (Civil Service Pensions use only)</t>
  </si>
  <si>
    <r>
      <t xml:space="preserve">Key Event Date </t>
    </r>
    <r>
      <rPr>
        <sz val="10"/>
        <rFont val="Arial"/>
        <family val="2"/>
      </rPr>
      <t xml:space="preserve">(Civil Service Pensions </t>
    </r>
    <r>
      <rPr>
        <sz val="10"/>
        <color theme="1"/>
        <rFont val="Arial"/>
        <family val="2"/>
      </rPr>
      <t>use only)</t>
    </r>
  </si>
  <si>
    <r>
      <t xml:space="preserve">Email address </t>
    </r>
    <r>
      <rPr>
        <sz val="10"/>
        <rFont val="Arial"/>
        <family val="2"/>
      </rPr>
      <t>*</t>
    </r>
  </si>
  <si>
    <t>A leaver quote for a member who has two or more years service</t>
  </si>
  <si>
    <t>[</t>
  </si>
  <si>
    <t>]</t>
  </si>
  <si>
    <t>}</t>
  </si>
  <si>
    <t>#</t>
  </si>
  <si>
    <t>@</t>
  </si>
  <si>
    <t/>
  </si>
  <si>
    <t>:</t>
  </si>
  <si>
    <t>;</t>
  </si>
  <si>
    <t>+</t>
  </si>
  <si>
    <t>-</t>
  </si>
  <si>
    <t>,</t>
  </si>
  <si>
    <t>.</t>
  </si>
  <si>
    <t>`</t>
  </si>
  <si>
    <t>¬</t>
  </si>
  <si>
    <t>Date Entered</t>
  </si>
  <si>
    <t>Date Entered = ""</t>
  </si>
  <si>
    <t>Mandatory type</t>
  </si>
  <si>
    <t>Display message</t>
  </si>
  <si>
    <t>Comp entered</t>
  </si>
  <si>
    <t>Comp not entered</t>
  </si>
  <si>
    <t>Request For Services</t>
  </si>
  <si>
    <r>
      <t xml:space="preserve">Does the member have a previous Principal Civil Service Pension Scheme (PCSPS) award? </t>
    </r>
    <r>
      <rPr>
        <sz val="10"/>
        <rFont val="Arial"/>
        <family val="2"/>
      </rPr>
      <t>*</t>
    </r>
  </si>
  <si>
    <t>Part 6 - How to submit your Request for Services form</t>
  </si>
  <si>
    <r>
      <rPr>
        <b/>
        <sz val="14"/>
        <rFont val="Arial"/>
        <family val="2"/>
      </rPr>
      <t xml:space="preserve">Part 5 </t>
    </r>
    <r>
      <rPr>
        <b/>
        <sz val="14"/>
        <color theme="1"/>
        <rFont val="Arial"/>
        <family val="2"/>
      </rPr>
      <t xml:space="preserve">– </t>
    </r>
    <r>
      <rPr>
        <b/>
        <sz val="14"/>
        <rFont val="Arial"/>
        <family val="2"/>
      </rPr>
      <t>Details of Employer or Shared Services</t>
    </r>
  </si>
  <si>
    <t xml:space="preserve">Providing additional information will help us to process your request. If possible, please provide details of the following: </t>
  </si>
  <si>
    <r>
      <t xml:space="preserve">Part 3 - </t>
    </r>
    <r>
      <rPr>
        <b/>
        <sz val="14"/>
        <rFont val="Arial"/>
        <family val="2"/>
      </rPr>
      <t xml:space="preserve">Additional member details  </t>
    </r>
  </si>
  <si>
    <t>Please provide up to date details for the member when you complete the form (for example if the member is due to leave service, you must provide their personal email address and contact telephone number).</t>
  </si>
  <si>
    <t>Part 2 – Member details</t>
  </si>
  <si>
    <r>
      <t xml:space="preserve">Part 1 – </t>
    </r>
    <r>
      <rPr>
        <b/>
        <sz val="14"/>
        <rFont val="Arial"/>
        <family val="2"/>
      </rPr>
      <t>Your request</t>
    </r>
  </si>
  <si>
    <t>How to complete a Request for Services form</t>
  </si>
  <si>
    <t>·</t>
  </si>
  <si>
    <t>The above information should be submitted via a monthly interface.</t>
  </si>
  <si>
    <t>- a new joiner.</t>
  </si>
  <si>
    <t>- a change in working hours (for example moving from part-time to full-time)</t>
  </si>
  <si>
    <t>- a change in personal details (such as a member's name, address, or marital status)</t>
  </si>
  <si>
    <t>To notify us of:</t>
  </si>
  <si>
    <t>You should not submit a Request for Services form for the following:</t>
  </si>
  <si>
    <t>In exceptional circumstances, to request a death benefits estimate, efficiency dismissal estimate, or ill-health retirement estimate.</t>
  </si>
  <si>
    <t>To request a Sick Pay at Pension Rate (SPPR) estimate when paid sick leave has ended.</t>
  </si>
  <si>
    <t>To request a Cash-Equivalent Transfer Value quote (CETV) for divorce.</t>
  </si>
  <si>
    <t>To notify us of someone who has left employment with more than three months service.</t>
  </si>
  <si>
    <t>To request an efficiency dismissal quote (with or without compensation).</t>
  </si>
  <si>
    <t>To notify us of a death in service.</t>
  </si>
  <si>
    <t>You should submit a Request for Services form for the following:</t>
  </si>
  <si>
    <t>Part 6 Submitting your form</t>
  </si>
  <si>
    <t>Part 7 - For internal use only</t>
  </si>
  <si>
    <t>This section will auto-populate for use by Civil Service Pensions.</t>
  </si>
  <si>
    <t>Important information</t>
  </si>
  <si>
    <t>When you complete this form you may see one or more of the following error messages displayed at the top of the form in red text.</t>
  </si>
  <si>
    <t>Error messages</t>
  </si>
  <si>
    <t>Providing additional documents</t>
  </si>
  <si>
    <t xml:space="preserve">- added pension contributions
- added years contributions
- confirmation of any funds transferred in from another scheme
- working pattern
- previous Principal Civil Service Pension Scheme (PCSPS) benefits. </t>
  </si>
  <si>
    <t>If you are unable to provide these details, please select 'Unknown' from the drop-down menu.</t>
  </si>
  <si>
    <t>To request a retirement quote for members leaving the scheme:
-  at Normal Pension Age (NPA)
-  before NPA, also known as Actuarially Reduced Retirement (ARR)
-  due to ill health.</t>
  </si>
  <si>
    <t>Step 1: Complete all fields including mandatory fields marked with an *. For further information, refer to the Guidance Notes.</t>
  </si>
  <si>
    <t>Gender</t>
  </si>
  <si>
    <t>An Actuarially Reduced Retirement (ARR) quote</t>
  </si>
  <si>
    <t>Part 5 Details of employer or Shared Services</t>
  </si>
  <si>
    <t>Before you complete this form please read the Guidance Notes, which can be found on the Guidance Notes tab.</t>
  </si>
  <si>
    <t>You must complete all mandatory fields marked with an * in order for us to process your request.</t>
  </si>
  <si>
    <r>
      <t>Employer or S</t>
    </r>
    <r>
      <rPr>
        <sz val="10"/>
        <rFont val="Arial"/>
        <family val="2"/>
      </rPr>
      <t>hared Services</t>
    </r>
    <r>
      <rPr>
        <sz val="10"/>
        <color theme="1"/>
        <rFont val="Arial"/>
        <family val="2"/>
      </rPr>
      <t xml:space="preserve"> </t>
    </r>
    <r>
      <rPr>
        <sz val="10"/>
        <rFont val="Arial"/>
        <family val="2"/>
      </rPr>
      <t>*</t>
    </r>
  </si>
  <si>
    <t xml:space="preserve">To notify us of someone who has opted out of the Civil Service pension arrangements. Notification of this should be sent using the ‘Opting Out’ form . </t>
  </si>
  <si>
    <t>Has the member ever worked part time hours or on a part time basis? *</t>
  </si>
  <si>
    <t>Has the member transferred funds from another scheme into their pension? *</t>
  </si>
  <si>
    <t>Is the member paying added years contributions? *</t>
  </si>
  <si>
    <t>Is the member paying added pension contributions? *</t>
  </si>
  <si>
    <t>Telephone number *</t>
  </si>
  <si>
    <t>Email address *</t>
  </si>
  <si>
    <t>Display Marital Status</t>
  </si>
  <si>
    <t>Display Marriage End Date</t>
  </si>
  <si>
    <t>Civil Partnership Dissolved</t>
  </si>
  <si>
    <t>Marital Status (for end date only)</t>
  </si>
  <si>
    <t>In the unlikely event of the user choosing the wrong service type and actually completing the questions, we can tidy the unwanted answers amongst the shared cells on the request sheet.</t>
  </si>
  <si>
    <t>Service Type</t>
  </si>
  <si>
    <t>Marital Status</t>
  </si>
  <si>
    <t>Delete</t>
  </si>
  <si>
    <t>White out only if Col H = Delete</t>
  </si>
  <si>
    <t>Part 7 Civil Service Pensions internal use only</t>
  </si>
  <si>
    <t>Additional Date 1</t>
  </si>
  <si>
    <t>Len(Heading)</t>
  </si>
  <si>
    <t>Additional Date 2</t>
  </si>
  <si>
    <t>LEN(Heading)</t>
  </si>
  <si>
    <t>Not used see above</t>
  </si>
  <si>
    <t>First name *</t>
  </si>
  <si>
    <t>Surname *</t>
  </si>
  <si>
    <t>Relationship with deceased member *</t>
  </si>
  <si>
    <t>Home Address *</t>
  </si>
  <si>
    <t>Postcode *</t>
  </si>
  <si>
    <t>Line manager details (of the deceased member)</t>
  </si>
  <si>
    <t>Email address</t>
  </si>
  <si>
    <t>Additional 1 List</t>
  </si>
  <si>
    <t>Additional 2 List</t>
  </si>
  <si>
    <t>Marital Status List</t>
  </si>
  <si>
    <t>© 2017</t>
  </si>
  <si>
    <t>Incorrect NI number format has been entered. The format should be be AANNNNNNA.</t>
  </si>
  <si>
    <t>Alpha Only 55 Age</t>
  </si>
  <si>
    <t>and Alpha?</t>
  </si>
  <si>
    <t>In this Date Range? (0 for yes)</t>
  </si>
  <si>
    <t>Display 50to55 message?</t>
  </si>
  <si>
    <t>New to include Alpha5055</t>
  </si>
  <si>
    <t>Combined Message</t>
  </si>
  <si>
    <t xml:space="preserve">You are required to provide your contact details and confirmation that the information you have provided is complete and correct. Here, you will be required to provide your email address, Task ID or central group email address. </t>
  </si>
  <si>
    <t>Other Information</t>
  </si>
  <si>
    <t>Compensation</t>
  </si>
  <si>
    <t>Message1 (Normal ARR NRA failure)</t>
  </si>
  <si>
    <t>Message2 (Alpha 50 to 55)</t>
  </si>
  <si>
    <t>LDOS, DOD N/A for Divorce</t>
  </si>
  <si>
    <t>To notify us of a request for partial retirement. Notification of this should be sent using the 'CSP15' form.</t>
  </si>
  <si>
    <r>
      <t xml:space="preserve">If you request a </t>
    </r>
    <r>
      <rPr>
        <sz val="14"/>
        <rFont val="Arial"/>
        <family val="2"/>
      </rPr>
      <t xml:space="preserve">divorce quote, you will be asked to confirm if </t>
    </r>
    <r>
      <rPr>
        <sz val="14"/>
        <color theme="1"/>
        <rFont val="Arial"/>
        <family val="2"/>
      </rPr>
      <t>the divorce was heard in an English/Welsh court or a Scottish court. If the divorce was heard in a Scottish court you will need to provide the marriage start date and date of separation to calculate the</t>
    </r>
    <r>
      <rPr>
        <sz val="14"/>
        <rFont val="Arial"/>
        <family val="2"/>
      </rPr>
      <t xml:space="preserve"> Cash Equivalent Transfer Value (CETV)</t>
    </r>
    <r>
      <rPr>
        <sz val="14"/>
        <color theme="1"/>
        <rFont val="Arial"/>
        <family val="2"/>
      </rPr>
      <t xml:space="preserve"> quote correctly.</t>
    </r>
  </si>
  <si>
    <t>Before submitting your form, you must complete all mandatory fields with an *. An error message will appear in the freeze pane until all mandatory fields have been completed. In some instances you can select 'Unknown' from the drop-down menu.  If you submit your form with incomplete mandatory fields we will be unable to process your request. For more information regarding error messages please see below.</t>
  </si>
  <si>
    <t xml:space="preserve">Step 3: Attach the form to an email and send to us in one of the following ways. Via secure email: contactcentre@mycsp.gse.gov.uk. Or to: contactcentre@mycsp.co.uk. </t>
  </si>
  <si>
    <t>A death in service notification</t>
  </si>
  <si>
    <t>Step 2: Save your form as a PDF using the following naming convention: RFS_MemberSurname (for example RFS_JONES).</t>
  </si>
  <si>
    <t>Quote-Early Preserved</t>
  </si>
  <si>
    <t>Control indicator for Partnership</t>
  </si>
  <si>
    <t>The Quote-Early Preserved type omits all bar classic and Dual(classic / alpha). This is shown in column A using If statements</t>
  </si>
  <si>
    <t>The partnership scheme is omitted for the service types in column F. i.e. if the type is one of these then E10 will be 1 resulting in omition.</t>
  </si>
  <si>
    <t>Column A is seen on the request form and is converted here to an internal service type.</t>
  </si>
  <si>
    <t>The result i.e. the internal service type is posted to ServiceType B3</t>
  </si>
  <si>
    <t>&lt;- is an arr quote and has failed the arr criteria (1)</t>
  </si>
  <si>
    <t>&lt;- is an age quote and has failed the age criteria (1)</t>
  </si>
  <si>
    <t>This is due to the changeability of the user descriptions (both in the past and probably ongoing).</t>
  </si>
  <si>
    <t>Date of 55th birthday</t>
  </si>
  <si>
    <t>both alpha and between 50 and 55 (0)</t>
  </si>
  <si>
    <t>AlphaNRD sheet</t>
  </si>
  <si>
    <t>For the alpha scheme only, another age boundary needed is the 55th birthday (H6).</t>
  </si>
  <si>
    <t>These are used by the ARR&amp;AgeValidation sheet to possibly display a failure message at the top of the Request form</t>
  </si>
  <si>
    <t>Message1 is generated using the key fields in red and message 2 uses those in blue. They are combined in C31 on the basis that it will be one or the other (if at all).</t>
  </si>
  <si>
    <t>Message part 1-&gt;</t>
  </si>
  <si>
    <t>Message part 2-&gt;</t>
  </si>
  <si>
    <t>For restricted list on request form.</t>
  </si>
  <si>
    <t>Only display the marital status when both the leaving terms and the scheme are in the lists</t>
  </si>
  <si>
    <t>Only display the marital status end date when the marital status' selected by the user is on the right list</t>
  </si>
  <si>
    <t>We will only present the list from column A when relevant however. This is controled by the MarriageMessages sheet.</t>
  </si>
  <si>
    <t>1) Post NRD (N blank for no post NRD)</t>
  </si>
  <si>
    <t>2) Previous PCSPS service (P, U for unknown and blank for no previous service)</t>
  </si>
  <si>
    <t>&lt;-N or "NP" or "P" or "U" or "NU" or ""</t>
  </si>
  <si>
    <t>We then use this to lookup the relevant CTI in the CTI sheet.</t>
  </si>
  <si>
    <t>This has been replaced by direct input validation on the request form</t>
  </si>
  <si>
    <t>This controls the additional information section on the request form</t>
  </si>
  <si>
    <t>This controls the 2nd part of the additional information section</t>
  </si>
  <si>
    <t>Restricted user input list</t>
  </si>
  <si>
    <t>Only display the compensation field if relevant to the service type.</t>
  </si>
  <si>
    <t>Also contol the mandatory setting here</t>
  </si>
  <si>
    <t>NRD less 1 day</t>
  </si>
  <si>
    <t>Reached (or passed) NRD less 1 day</t>
  </si>
  <si>
    <t>Field title(if applicable)</t>
  </si>
  <si>
    <t>Compensation -&gt;</t>
  </si>
  <si>
    <t>Upper bound date (NRD less 1 day for Age or 2 days for ARR)</t>
  </si>
  <si>
    <t>&lt;-- take this many days away from NRD</t>
  </si>
  <si>
    <t>DBN -&gt;</t>
  </si>
  <si>
    <t>ARR &amp; Age-&gt;</t>
  </si>
  <si>
    <t>IH comp -&gt;</t>
  </si>
  <si>
    <t>Type</t>
  </si>
  <si>
    <t>Service types related to</t>
  </si>
  <si>
    <t>The user enters the service type first and then the list of schemes is amended to present only the relevant ones</t>
  </si>
  <si>
    <t xml:space="preserve">Operational-Retirement-Quote-Ill Health </t>
  </si>
  <si>
    <t>This sheet will find the age boundaries for each different scheme type.</t>
  </si>
  <si>
    <t>They are also used by the CTIcriteria sheet to derive the MyWork category.</t>
  </si>
  <si>
    <t xml:space="preserve">Member phone number </t>
  </si>
  <si>
    <t>Member email</t>
  </si>
  <si>
    <t>Member home address 1</t>
  </si>
  <si>
    <t>Member home address 2</t>
  </si>
  <si>
    <t>Part 1 Your request</t>
  </si>
  <si>
    <t>Part 2 Member details</t>
  </si>
  <si>
    <t>Part 3 Additional member details</t>
  </si>
  <si>
    <t>English/Welsh</t>
  </si>
  <si>
    <t>Scottish</t>
  </si>
  <si>
    <t>List Item 1</t>
  </si>
  <si>
    <t>List Item 2</t>
  </si>
  <si>
    <t>List Item 3</t>
  </si>
  <si>
    <t>Dynamic List Value</t>
  </si>
  <si>
    <t>(Removed nested if V37)</t>
  </si>
  <si>
    <t>possible message-&gt;</t>
  </si>
  <si>
    <t>message required-&gt;</t>
  </si>
  <si>
    <t>Compensation (pre v37) -&gt;</t>
  </si>
  <si>
    <t>message required?</t>
  </si>
  <si>
    <t>Alpha Only 50 to 55 (Upper bound date)</t>
  </si>
  <si>
    <t>Moved to message 1 v37</t>
  </si>
  <si>
    <t>Spare</t>
  </si>
  <si>
    <t>This is to try to limit the message rows at the top of the form. Only one message per service type can be put here. If another message/ servive type is needed then use Message2 sheet.</t>
  </si>
  <si>
    <t>Any additional messages per service type must be inserted here e.g Ill health quote message2 (compensation warning message).</t>
  </si>
  <si>
    <t>The top 4 request types are dependent on:</t>
  </si>
  <si>
    <t>This amends the "member's last day of service" title field for divorce quotes and early preserved quotes</t>
  </si>
  <si>
    <t>This amends the "Member's last day of service" title field to a more appropriate one for the service type</t>
  </si>
  <si>
    <t>See B2 for the criteria.</t>
  </si>
  <si>
    <t>v37. This still leaves the option, on quote divorce, to just remove the * but we can also remove the whole title via an "if statement" on the Request form.</t>
  </si>
  <si>
    <t>Restricted user input list. See column A for variable values.</t>
  </si>
  <si>
    <t>This is controled by the conditional formatting on the Request sheet. White font will be used only if there is a "Delete" in column H.</t>
  </si>
  <si>
    <t>1) This sheet will inform the user that the member's age range is not within those allowed by the chosen service type. This will be displayed at the top of the request form in red font.</t>
  </si>
  <si>
    <t>Additional info (currently part 4 of Request form) list items dependent on service type</t>
  </si>
  <si>
    <t>In column H we set the service type / Post NRD/ Previous service combination. This is done by appending P,N and U to the internal request types.</t>
  </si>
  <si>
    <t>Original (unused)</t>
  </si>
  <si>
    <t>The internal MyCSP work category (or CTI) is seen in column B. This is at the bottom of the request form.</t>
  </si>
  <si>
    <t>Most are directly dependent on the Service Type (or leaving terms) seen in column A.</t>
  </si>
  <si>
    <t>The particular scenario is set on the CTIcriteria sheet and is referenced here by matching with column A.</t>
  </si>
  <si>
    <t>The CTI key event date is also populated from column C of this sheet.</t>
  </si>
  <si>
    <t>Previous PCSPS ind (P or U if applicable)</t>
  </si>
  <si>
    <t>2) Also if the member is in the alpha scheme and the service type is ARR and the member is between 50 and 55 (- 1 day) then a different warning message is displayed.</t>
  </si>
  <si>
    <t>For message 1, the date by which the member is deemed to have reached NRD is brought forward by 2 days for an ARR and 1 day for an Age quote. See E4.</t>
  </si>
  <si>
    <t xml:space="preserve"> i.e. one is elligible for an Age quote at 1 day befor NRD or after and is only eligible for an ARR up to and including 2 days before NRD (otherwise they should choose Age Ret).</t>
  </si>
  <si>
    <t>Request for Services Form Terminology</t>
  </si>
  <si>
    <t>MyWork CTI</t>
  </si>
  <si>
    <t>Criteria for Key Event Date on case</t>
  </si>
  <si>
    <t>Operational - Leaver - Member Over 3 Months - Quote</t>
  </si>
  <si>
    <r>
      <t xml:space="preserve">Selected Quote - Efficiency Dismissal (no compensation) - less than 2 years service on the Request for Services form and the LDOS entered is </t>
    </r>
    <r>
      <rPr>
        <b/>
        <sz val="11"/>
        <color rgb="FFFF0000"/>
        <rFont val="Calibri"/>
        <family val="2"/>
        <scheme val="minor"/>
      </rPr>
      <t xml:space="preserve">2 days </t>
    </r>
    <r>
      <rPr>
        <sz val="11"/>
        <rFont val="Calibri"/>
        <family val="2"/>
        <scheme val="minor"/>
      </rPr>
      <t xml:space="preserve">before the member's Normal Retirement Date for their Scheme (to establish this will require the member's D.O.B, Scheme and LDOS fields). </t>
    </r>
  </si>
  <si>
    <t>Operational - Retirement - Quote</t>
  </si>
  <si>
    <r>
      <t xml:space="preserve">Selected Quote - Efficiency Dismissal (no compensation) - less than 2 years service on the Request for Services form and the LDOS entered </t>
    </r>
    <r>
      <rPr>
        <b/>
        <sz val="11"/>
        <color rgb="FFFF0000"/>
        <rFont val="Calibri"/>
        <family val="2"/>
        <scheme val="minor"/>
      </rPr>
      <t xml:space="preserve">is </t>
    </r>
    <r>
      <rPr>
        <b/>
        <strike/>
        <sz val="11"/>
        <color rgb="FFFF0000"/>
        <rFont val="Calibri"/>
        <family val="2"/>
        <scheme val="minor"/>
      </rPr>
      <t xml:space="preserve">on </t>
    </r>
    <r>
      <rPr>
        <b/>
        <sz val="11"/>
        <color rgb="FFFF0000"/>
        <rFont val="Calibri"/>
        <family val="2"/>
        <scheme val="minor"/>
      </rPr>
      <t>one day before, on</t>
    </r>
    <r>
      <rPr>
        <sz val="11"/>
        <rFont val="Calibri"/>
        <family val="2"/>
        <scheme val="minor"/>
      </rPr>
      <t xml:space="preserve"> or after the member's Normal Retirement Date for their Scheme (to establish this will require the member's D.O.B, Scheme and LDOS fields).</t>
    </r>
  </si>
  <si>
    <t>Operational - Leaver - Member Over 24 Months - Quote</t>
  </si>
  <si>
    <r>
      <t xml:space="preserve">Selected Quote - Efficiency Dismissal (no compensation) - 2 or more years service on the Request for Services form and the LDOS entered is </t>
    </r>
    <r>
      <rPr>
        <b/>
        <sz val="11"/>
        <color rgb="FFFF0000"/>
        <rFont val="Calibri"/>
        <family val="2"/>
        <scheme val="minor"/>
      </rPr>
      <t>2 days</t>
    </r>
    <r>
      <rPr>
        <sz val="11"/>
        <rFont val="Calibri"/>
        <family val="2"/>
        <scheme val="minor"/>
      </rPr>
      <t xml:space="preserve"> before the member's Normal Retirement Date for their Scheme (to establish this will require the member's D.O.B, Scheme and LDOS fields).</t>
    </r>
  </si>
  <si>
    <r>
      <t xml:space="preserve">Selected Quote - Efficiency Dismissal (no compensation) - 2 or more years service on the Request for Services form and the LDOS entered is </t>
    </r>
    <r>
      <rPr>
        <strike/>
        <sz val="11"/>
        <color rgb="FFFF0000"/>
        <rFont val="Calibri"/>
        <family val="2"/>
        <scheme val="minor"/>
      </rPr>
      <t>on</t>
    </r>
    <r>
      <rPr>
        <sz val="11"/>
        <rFont val="Calibri"/>
        <family val="2"/>
        <scheme val="minor"/>
      </rPr>
      <t xml:space="preserve"> </t>
    </r>
    <r>
      <rPr>
        <b/>
        <sz val="11"/>
        <color rgb="FFFF0000"/>
        <rFont val="Calibri"/>
        <family val="2"/>
        <scheme val="minor"/>
      </rPr>
      <t xml:space="preserve">one day before, on </t>
    </r>
    <r>
      <rPr>
        <sz val="11"/>
        <rFont val="Calibri"/>
        <family val="2"/>
        <scheme val="minor"/>
      </rPr>
      <t>or after the member's Normal Retirement Date for their Scheme (to establish this will require the member's D.O.B, Scheme and LDOS fields).</t>
    </r>
  </si>
  <si>
    <r>
      <t xml:space="preserve">Selected Quote - Leaver - 2 or more years service on the Request for Services form and the LDOS entered is </t>
    </r>
    <r>
      <rPr>
        <strike/>
        <sz val="11"/>
        <color rgb="FFFF0000"/>
        <rFont val="Calibri"/>
        <family val="2"/>
      </rPr>
      <t>on</t>
    </r>
    <r>
      <rPr>
        <b/>
        <sz val="11"/>
        <color rgb="FFFF0000"/>
        <rFont val="Calibri"/>
        <family val="2"/>
      </rPr>
      <t xml:space="preserve"> one day before, on</t>
    </r>
    <r>
      <rPr>
        <sz val="11"/>
        <rFont val="Calibri"/>
        <family val="2"/>
      </rPr>
      <t xml:space="preserve"> or after the member's Normal Retirement Date for their Scheme (to establish this will require the member's D.O.B, Scheme and LDOS fields).</t>
    </r>
  </si>
  <si>
    <r>
      <t xml:space="preserve">Quote – Leaver – 2 or more years’ service is selected on the Request for Services form, the LDOS is </t>
    </r>
    <r>
      <rPr>
        <b/>
        <sz val="11"/>
        <color rgb="FFFF0000"/>
        <rFont val="Calibri"/>
        <family val="2"/>
      </rPr>
      <t>2 days</t>
    </r>
    <r>
      <rPr>
        <sz val="11"/>
        <rFont val="Calibri"/>
        <family val="2"/>
      </rPr>
      <t xml:space="preserve"> before the member's Normal Retirement Date for their scheme.</t>
    </r>
  </si>
  <si>
    <r>
      <t xml:space="preserve">Selected Quote - Leaver - less than 2 years' service on the Request for Services form and the LDOS entered is </t>
    </r>
    <r>
      <rPr>
        <b/>
        <strike/>
        <sz val="11"/>
        <color rgb="FFFF0000"/>
        <rFont val="Calibri"/>
        <family val="2"/>
      </rPr>
      <t>on</t>
    </r>
    <r>
      <rPr>
        <b/>
        <sz val="11"/>
        <color rgb="FFFF0000"/>
        <rFont val="Calibri"/>
        <family val="2"/>
      </rPr>
      <t xml:space="preserve"> one day before , on</t>
    </r>
    <r>
      <rPr>
        <sz val="11"/>
        <rFont val="Calibri"/>
        <family val="2"/>
      </rPr>
      <t xml:space="preserve"> or after the member's Normal Retirement Date for their Scheme (to establish this will require the member's D.O.B, Scheme and LDOS fields)</t>
    </r>
  </si>
  <si>
    <r>
      <t xml:space="preserve">Selected Quote - Leaver - less than 2 years service on the Request for Services form and the member has a previous PCSPS award (this will require a previous PCSPS service box with minimum yes/no) and the LDOS entered is </t>
    </r>
    <r>
      <rPr>
        <b/>
        <sz val="11"/>
        <color rgb="FFFF0000"/>
        <rFont val="Calibri"/>
        <family val="2"/>
      </rPr>
      <t>2 days</t>
    </r>
    <r>
      <rPr>
        <sz val="11"/>
        <rFont val="Calibri"/>
        <family val="2"/>
      </rPr>
      <t xml:space="preserve"> before the member's Normal Retirement Date for their scheme.  </t>
    </r>
  </si>
  <si>
    <r>
      <t xml:space="preserve">Quote – Leaver – less than 2 years’ service selected on the Request for Services form, the LDOS entered is </t>
    </r>
    <r>
      <rPr>
        <b/>
        <sz val="11"/>
        <color rgb="FFFF0000"/>
        <rFont val="Calibri"/>
        <family val="2"/>
      </rPr>
      <t>2 days</t>
    </r>
    <r>
      <rPr>
        <sz val="11"/>
        <rFont val="Calibri"/>
        <family val="2"/>
      </rPr>
      <t xml:space="preserve"> before the member's Normal Retirement Date for their scheme and the employer has stated that the member does not have a previous PCSPS award (this will require a previous PCSPS service box with minimum yes/no) .</t>
    </r>
  </si>
  <si>
    <r>
      <t xml:space="preserve">Quote – Leaver – less than 2 years’ service selected on the Request for Services form, the LDOS entered is </t>
    </r>
    <r>
      <rPr>
        <b/>
        <sz val="11"/>
        <color rgb="FFFF0000"/>
        <rFont val="Calibri"/>
        <family val="2"/>
      </rPr>
      <t xml:space="preserve">2 days </t>
    </r>
    <r>
      <rPr>
        <sz val="11"/>
        <rFont val="Calibri"/>
        <family val="2"/>
      </rPr>
      <t>before the member's Normal Retirement Date for their scheme and the employer has stated 'unknown' to the question of whether the member 'has a previous PCSPS award'.</t>
    </r>
  </si>
  <si>
    <t>However The Leaver and Dismissal (no comp) types are all also dependent on other criteria such as 'reached nrd' and 'previous service'. Details can be seen on the 'Info Only CTI Scenarios' sheet.</t>
  </si>
  <si>
    <t>Warning messages</t>
  </si>
  <si>
    <t>Not completed (&gt;0). Don't display message.</t>
  </si>
  <si>
    <t>Original SPD using 9 nested If statements</t>
  </si>
  <si>
    <r>
      <t xml:space="preserve">SPD from lookup </t>
    </r>
    <r>
      <rPr>
        <sz val="11"/>
        <color theme="1"/>
        <rFont val="Calibri"/>
        <family val="2"/>
        <scheme val="minor"/>
      </rPr>
      <t>(00/01/1900 is N/A)</t>
    </r>
  </si>
  <si>
    <r>
      <t>SPD known i.e. 60, 65, 66, 67 or 68</t>
    </r>
    <r>
      <rPr>
        <sz val="11"/>
        <color theme="1"/>
        <rFont val="Calibri"/>
        <family val="2"/>
        <scheme val="minor"/>
      </rPr>
      <t xml:space="preserve"> (00/01/1900 is N/A)</t>
    </r>
  </si>
  <si>
    <t>Previous Indicator (blank if No)</t>
  </si>
  <si>
    <t xml:space="preserve">Previous PCSPS </t>
  </si>
  <si>
    <t>Field Lookup from Request</t>
  </si>
  <si>
    <t>In the current dynamic list?</t>
  </si>
  <si>
    <t>Allowable-&gt;</t>
  </si>
  <si>
    <t>Early payment of preserved award (on ill-health grounds) quote</t>
  </si>
  <si>
    <t>To request an early payment of preserved award (on ill-health grounds) quote for a deferred member.</t>
  </si>
  <si>
    <t>In this section please select the type of service you require, the date the request is effective from and the name of your employer/organisation.</t>
  </si>
  <si>
    <r>
      <t>Other information - You can use this field to provide any further information that may support your request, for example, information about allowances or bonuses,</t>
    </r>
    <r>
      <rPr>
        <sz val="14"/>
        <rFont val="Arial"/>
        <family val="2"/>
      </rPr>
      <t xml:space="preserve"> any additional details relating to next of kin/death beneficiaries, or working pattern.</t>
    </r>
  </si>
  <si>
    <r>
      <t xml:space="preserve">Part </t>
    </r>
    <r>
      <rPr>
        <b/>
        <strike/>
        <sz val="14"/>
        <rFont val="Arial"/>
        <family val="2"/>
      </rPr>
      <t>4</t>
    </r>
    <r>
      <rPr>
        <b/>
        <sz val="14"/>
        <rFont val="Arial"/>
        <family val="2"/>
      </rPr>
      <t xml:space="preserve"> – Additional Information (this applies to a death in service notification, divorce quote, ill-health retirement quote, or an efficiency dismissal with compensation quote)</t>
    </r>
  </si>
  <si>
    <r>
      <t xml:space="preserve">You will be required to provide the members death beneficiary nomination and next of kin/personal representative if you request a death in service </t>
    </r>
    <r>
      <rPr>
        <sz val="14"/>
        <rFont val="Arial"/>
        <family val="2"/>
      </rPr>
      <t>notification</t>
    </r>
    <r>
      <rPr>
        <sz val="14"/>
        <color theme="1"/>
        <rFont val="Arial"/>
        <family val="2"/>
      </rPr>
      <t>. If the member was not in the classic section of the PCSPS, and had a death benefit nomination, you will also need to provide details of the deceased's line manager.</t>
    </r>
  </si>
  <si>
    <t>If you request an efficiency dismissal with compensation quote, you will be asked to confirm whether the member has an ongoing ill-health appeal.</t>
  </si>
  <si>
    <t>If you request an ill-health retirement quote, you will be asked to confirm whether the request is the result of a successful appeal, and if the member has previously been dismissed with compensation.</t>
  </si>
  <si>
    <t>When you complete the form, the following warning messages may display at the top of the form.</t>
  </si>
  <si>
    <r>
      <rPr>
        <b/>
        <sz val="14"/>
        <rFont val="Arial"/>
        <family val="2"/>
      </rPr>
      <t xml:space="preserve"> 'The member’s age at their last day of service means that they are ineligible for a Normal Pension Age (NPA) retirement quote. Please refer to the guidance notes for further details.'
</t>
    </r>
    <r>
      <rPr>
        <sz val="14"/>
        <rFont val="Arial"/>
        <family val="2"/>
      </rPr>
      <t>You have selected a NPA retirement quote and the member is not at the minimum age to take NPA retirement. Check that the member is at least one day before NPA for their scheme on their last day of service.</t>
    </r>
  </si>
  <si>
    <r>
      <rPr>
        <b/>
        <sz val="14"/>
        <rFont val="Arial"/>
        <family val="2"/>
      </rPr>
      <t xml:space="preserve"> 'The member’s age at their last day of service means that they are ineligible for an Actuarially Reduced   Retirement (ARR) quote. Please refer to the guidance notes for further details.'
</t>
    </r>
    <r>
      <rPr>
        <sz val="14"/>
        <rFont val="Arial"/>
        <family val="2"/>
      </rPr>
      <t>You have selected an ARR quote and the member is not at the minimum or maximum age to take ARR. Check that the member is at the minimum or maximum age to take ARR for their scheme on their last day of service. Check that the member is at least two days before NPA on their last day of service.</t>
    </r>
    <r>
      <rPr>
        <sz val="14"/>
        <color rgb="FFFF0000"/>
        <rFont val="Arial"/>
        <family val="2"/>
      </rPr>
      <t xml:space="preserve">
 </t>
    </r>
    <r>
      <rPr>
        <b/>
        <sz val="14"/>
        <color theme="1"/>
        <rFont val="Arial"/>
        <family val="2"/>
      </rPr>
      <t>'We w</t>
    </r>
    <r>
      <rPr>
        <b/>
        <sz val="14"/>
        <rFont val="Arial"/>
        <family val="2"/>
      </rPr>
      <t>ill undertake additional checks to confirm if the member is eligible for an Actuarially Reduced  Retirement (ARR) quote.'</t>
    </r>
    <r>
      <rPr>
        <sz val="14"/>
        <rFont val="Arial"/>
        <family val="2"/>
      </rPr>
      <t xml:space="preserve">
This applies to alpha-only, or alpha and nuvos members. </t>
    </r>
  </si>
  <si>
    <r>
      <t xml:space="preserve"> 'Please ensure that the member has been informed that they will be required to pay back any dismissal compensation paid to them, following a successful ill-health retirement application appeal'. </t>
    </r>
    <r>
      <rPr>
        <sz val="14"/>
        <rFont val="Arial"/>
        <family val="2"/>
      </rPr>
      <t>This message appears when a member has an ongoing ill-health application appeal. It is your responsibility to tell the member that they will need to pay back any dismissal compensation if their appeal is successful. Please refer to the Employer Pension Guide 6.3.8 to 6.3.11 on the Civil Service website for further details http://www.civilservicepensionscheme.org.uk/employers/employer-pension-guide/your-responsibilities-when-staff-leave-before-pension-age</t>
    </r>
  </si>
  <si>
    <r>
      <t xml:space="preserve"> 'Please ensure that the member has been informed that if they have previously been dismissed with compensation, they will be required to pay back their compensation.' </t>
    </r>
    <r>
      <rPr>
        <sz val="14"/>
        <rFont val="Arial"/>
        <family val="2"/>
      </rPr>
      <t>This message appears when an ill-health retirement quote has been requested as a result of a successful appeal, and the member has previously been dismissed with compensation. It is your responsibility to tell the member they will need to pay back their compensation if their ill-health application is successful. Please refer to the Employer Pension Guide 6.3.8 to 6.3.11 on the Civil Service website for further details http://www.civilservicepensionscheme.org.uk/employers/employer-pension-guide/your-responsibilities-when-staff-leave-before-pension-age</t>
    </r>
  </si>
  <si>
    <r>
      <rPr>
        <b/>
        <sz val="14"/>
        <rFont val="Arial"/>
        <family val="2"/>
      </rPr>
      <t xml:space="preserve"> 'Please provide a medical certificate received from the Scheme Medical Advisor (SMA) with this form. Civil Service Pensions will be unable to process your request without this certificate.'
</t>
    </r>
    <r>
      <rPr>
        <sz val="14"/>
        <rFont val="Arial"/>
        <family val="2"/>
      </rPr>
      <t>You must provide a medical certificate for normal ill-health and severe ill-health cases when requesting either an ill-health retirement quote or an early payment of preserved award (on ill-health grounds) quote. Please ensure that this certificate is legible. This can be scanned and sent into us by email along with the Request for Services form. Civil Service Pensions will be unable to process your request without this certificate.</t>
    </r>
  </si>
  <si>
    <r>
      <rPr>
        <b/>
        <sz val="14"/>
        <rFont val="Arial"/>
        <family val="2"/>
      </rPr>
      <t xml:space="preserve"> 'Please supply a Death Benefit Nomination (DBN) form.'</t>
    </r>
    <r>
      <rPr>
        <sz val="14"/>
        <rFont val="Arial"/>
        <family val="2"/>
      </rPr>
      <t xml:space="preserve"> 
You must provide a DBN when requesting a death in service notification and you have indicated on the form that the member has a death benefit nomination. This can be scanned and sent into us by email along with the Request for Services form.</t>
    </r>
  </si>
  <si>
    <t>CTI Criteria @ December 2017</t>
  </si>
  <si>
    <t>Criteria for picking MyWork CTI if applicable</t>
  </si>
  <si>
    <t>Leaver (Interface type)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</si>
</sst>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2" x14ac:knownFonts="1">
    <font>
      <sz val="11"/>
      <color theme="1"/>
      <name val="Calibri"/>
      <family val="2"/>
      <scheme val="minor"/>
    </font>
    <font>
      <u/>
      <sz val="11"/>
      <color theme="10"/>
      <name val="Calibri"/>
      <family val="2"/>
      <scheme val="minor"/>
    </font>
    <font>
      <sz val="14"/>
      <color rgb="FFFF0000"/>
      <name val="Calibri"/>
      <family val="2"/>
      <scheme val="minor"/>
    </font>
    <font>
      <b/>
      <sz val="11"/>
      <color theme="1"/>
      <name val="Calibri"/>
      <family val="2"/>
      <scheme val="minor"/>
    </font>
    <font>
      <sz val="14"/>
      <color theme="4" tint="0.79998168889431442"/>
      <name val="Calibri"/>
      <family val="2"/>
      <scheme val="minor"/>
    </font>
    <font>
      <sz val="14"/>
      <color theme="1"/>
      <name val="Arial"/>
      <family val="2"/>
    </font>
    <font>
      <sz val="14"/>
      <color rgb="FFFF0000"/>
      <name val="Arial"/>
      <family val="2"/>
    </font>
    <font>
      <u/>
      <sz val="14"/>
      <color theme="10"/>
      <name val="Arial"/>
      <family val="2"/>
    </font>
    <font>
      <sz val="14"/>
      <name val="Arial"/>
      <family val="2"/>
    </font>
    <font>
      <b/>
      <sz val="14"/>
      <color theme="3" tint="0.59996337778862885"/>
      <name val="Arial"/>
      <family val="2"/>
    </font>
    <font>
      <b/>
      <u/>
      <sz val="14"/>
      <color theme="3" tint="0.59996337778862885"/>
      <name val="Arial"/>
      <family val="2"/>
    </font>
    <font>
      <b/>
      <sz val="18"/>
      <color theme="3" tint="0.59996337778862885"/>
      <name val="Arial"/>
      <family val="2"/>
    </font>
    <font>
      <sz val="10"/>
      <name val="Arial"/>
      <family val="2"/>
    </font>
    <font>
      <sz val="14"/>
      <color theme="0"/>
      <name val="Calibri"/>
      <family val="2"/>
      <scheme val="minor"/>
    </font>
    <font>
      <b/>
      <sz val="18"/>
      <color theme="0"/>
      <name val="Arial"/>
      <family val="2"/>
    </font>
    <font>
      <sz val="14"/>
      <color theme="0"/>
      <name val="Arial"/>
      <family val="2"/>
    </font>
    <font>
      <u/>
      <sz val="11"/>
      <color theme="0"/>
      <name val="Calibri"/>
      <family val="2"/>
      <scheme val="minor"/>
    </font>
    <font>
      <b/>
      <sz val="14"/>
      <color theme="0"/>
      <name val="Arial"/>
      <family val="2"/>
    </font>
    <font>
      <sz val="14"/>
      <color theme="1"/>
      <name val="Calibri"/>
      <family val="2"/>
      <scheme val="minor"/>
    </font>
    <font>
      <sz val="10"/>
      <color theme="1"/>
      <name val="Arial"/>
      <family val="2"/>
    </font>
    <font>
      <sz val="10"/>
      <color rgb="FFFF0000"/>
      <name val="Arial"/>
      <family val="2"/>
    </font>
    <font>
      <sz val="10"/>
      <color theme="1"/>
      <name val="Calibri"/>
      <family val="2"/>
      <scheme val="minor"/>
    </font>
    <font>
      <b/>
      <sz val="12"/>
      <color theme="3" tint="0.59996337778862885"/>
      <name val="Arial"/>
      <family val="2"/>
    </font>
    <font>
      <sz val="8"/>
      <color rgb="FFFF0000"/>
      <name val="Arial"/>
      <family val="2"/>
    </font>
    <font>
      <sz val="8"/>
      <color theme="1"/>
      <name val="Arial"/>
      <family val="2"/>
    </font>
    <font>
      <sz val="8"/>
      <color theme="0"/>
      <name val="Arial"/>
      <family val="2"/>
    </font>
    <font>
      <sz val="8"/>
      <color theme="0"/>
      <name val="Calibri"/>
      <family val="2"/>
      <scheme val="minor"/>
    </font>
    <font>
      <sz val="8"/>
      <color rgb="FFFF0000"/>
      <name val="Calibri"/>
      <family val="2"/>
      <scheme val="minor"/>
    </font>
    <font>
      <sz val="8"/>
      <color theme="1"/>
      <name val="Calibri"/>
      <family val="2"/>
      <scheme val="minor"/>
    </font>
    <font>
      <b/>
      <sz val="14"/>
      <color rgb="FFFF0000"/>
      <name val="Arial"/>
      <family val="2"/>
    </font>
    <font>
      <sz val="12"/>
      <color rgb="FFFF0000"/>
      <name val="Arial"/>
      <family val="2"/>
    </font>
    <font>
      <sz val="14"/>
      <name val="Calibri"/>
      <family val="2"/>
      <scheme val="minor"/>
    </font>
    <font>
      <b/>
      <sz val="18"/>
      <name val="Arial"/>
      <family val="2"/>
    </font>
    <font>
      <b/>
      <sz val="14"/>
      <name val="Arial"/>
      <family val="2"/>
    </font>
    <font>
      <sz val="8"/>
      <name val="Calibri"/>
      <family val="2"/>
      <scheme val="minor"/>
    </font>
    <font>
      <sz val="12"/>
      <color theme="0"/>
      <name val="Arial"/>
      <family val="2"/>
    </font>
    <font>
      <sz val="10"/>
      <color theme="0"/>
      <name val="Arial"/>
      <family val="2"/>
    </font>
    <font>
      <sz val="12"/>
      <name val="Arial"/>
      <family val="2"/>
    </font>
    <font>
      <b/>
      <sz val="12"/>
      <color theme="0"/>
      <name val="Arial"/>
      <family val="2"/>
    </font>
    <font>
      <sz val="11"/>
      <color rgb="FFFF0000"/>
      <name val="Calibri"/>
      <family val="2"/>
      <scheme val="minor"/>
    </font>
    <font>
      <sz val="11"/>
      <name val="Arial"/>
      <family val="2"/>
    </font>
    <font>
      <b/>
      <sz val="14"/>
      <color theme="1"/>
      <name val="Arial"/>
      <family val="2"/>
    </font>
    <font>
      <i/>
      <sz val="14"/>
      <color theme="1"/>
      <name val="Arial"/>
      <family val="2"/>
    </font>
    <font>
      <b/>
      <strike/>
      <sz val="14"/>
      <name val="Arial"/>
      <family val="2"/>
    </font>
    <font>
      <b/>
      <sz val="11"/>
      <color theme="1"/>
      <name val="Arial"/>
      <family val="2"/>
    </font>
    <font>
      <sz val="14"/>
      <color theme="1"/>
      <name val="Symbol"/>
      <family val="1"/>
      <charset val="2"/>
    </font>
    <font>
      <b/>
      <sz val="11"/>
      <name val="Arial"/>
      <family val="2"/>
    </font>
    <font>
      <sz val="11"/>
      <name val="Calibri"/>
      <family val="2"/>
      <scheme val="minor"/>
    </font>
    <font>
      <sz val="11"/>
      <color rgb="FF006C31"/>
      <name val="Calibri"/>
      <family val="2"/>
      <scheme val="minor"/>
    </font>
    <font>
      <sz val="11"/>
      <color rgb="FF0070C0"/>
      <name val="Calibri"/>
      <family val="2"/>
      <scheme val="minor"/>
    </font>
    <font>
      <b/>
      <sz val="14"/>
      <color rgb="FFFF0000"/>
      <name val="Calibri"/>
      <family val="2"/>
      <scheme val="minor"/>
    </font>
    <font>
      <b/>
      <sz val="14"/>
      <color rgb="FF64AADC"/>
      <name val="Arial"/>
      <family val="2"/>
    </font>
    <font>
      <b/>
      <sz val="12"/>
      <color rgb="FF64AADC"/>
      <name val="Arial"/>
      <family val="2"/>
    </font>
    <font>
      <b/>
      <sz val="11"/>
      <color rgb="FFFF0000"/>
      <name val="Calibri"/>
      <family val="2"/>
      <scheme val="minor"/>
    </font>
    <font>
      <b/>
      <strike/>
      <sz val="11"/>
      <color rgb="FFFF0000"/>
      <name val="Calibri"/>
      <family val="2"/>
      <scheme val="minor"/>
    </font>
    <font>
      <strike/>
      <sz val="11"/>
      <color rgb="FFFF0000"/>
      <name val="Calibri"/>
      <family val="2"/>
      <scheme val="minor"/>
    </font>
    <font>
      <sz val="11"/>
      <name val="Calibri"/>
      <family val="2"/>
    </font>
    <font>
      <strike/>
      <sz val="11"/>
      <color rgb="FFFF0000"/>
      <name val="Calibri"/>
      <family val="2"/>
    </font>
    <font>
      <b/>
      <sz val="11"/>
      <color rgb="FFFF0000"/>
      <name val="Calibri"/>
      <family val="2"/>
    </font>
    <font>
      <b/>
      <strike/>
      <sz val="11"/>
      <color rgb="FFFF0000"/>
      <name val="Calibri"/>
      <family val="2"/>
    </font>
    <font>
      <sz val="14"/>
      <name val="Symbol"/>
      <family val="1"/>
      <charset val="2"/>
    </font>
    <font>
      <sz val="14"/>
      <color rgb="FF00B050"/>
      <name val="Arial"/>
      <family val="2"/>
    </font>
  </fonts>
  <fills count="9">
    <fill>
      <patternFill patternType="none"/>
    </fill>
    <fill>
      <patternFill patternType="gray125"/>
    </fill>
    <fill>
      <patternFill patternType="solid">
        <fgColor theme="0" tint="-0.14996795556505021"/>
        <bgColor indexed="64"/>
      </patternFill>
    </fill>
    <fill>
      <patternFill patternType="solid">
        <fgColor rgb="FFFFFF99"/>
        <bgColor indexed="64"/>
      </patternFill>
    </fill>
    <fill>
      <patternFill patternType="solid">
        <fgColor theme="0"/>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bottom/>
      <diagonal/>
    </border>
    <border>
      <left style="thin">
        <color rgb="FF80828A"/>
      </left>
      <right style="thin">
        <color rgb="FF80828A"/>
      </right>
      <top style="thin">
        <color rgb="FF80828A"/>
      </top>
      <bottom style="thin">
        <color rgb="FF80828A"/>
      </bottom>
      <diagonal/>
    </border>
    <border>
      <left/>
      <right/>
      <top style="thin">
        <color rgb="FF80828A"/>
      </top>
      <bottom/>
      <diagonal/>
    </border>
    <border>
      <left/>
      <right style="thin">
        <color theme="0"/>
      </right>
      <top style="thin">
        <color rgb="FF80828A"/>
      </top>
      <bottom/>
      <diagonal/>
    </border>
    <border>
      <left style="thin">
        <color theme="0"/>
      </left>
      <right style="thin">
        <color theme="0"/>
      </right>
      <top/>
      <bottom/>
      <diagonal/>
    </border>
    <border>
      <left/>
      <right style="thin">
        <color rgb="FF80828A"/>
      </right>
      <top/>
      <bottom/>
      <diagonal/>
    </border>
    <border>
      <left style="thin">
        <color theme="0"/>
      </left>
      <right/>
      <top style="thin">
        <color rgb="FF80828A"/>
      </top>
      <bottom/>
      <diagonal/>
    </border>
    <border>
      <left/>
      <right/>
      <top/>
      <bottom style="thin">
        <color rgb="FF80828A"/>
      </bottom>
      <diagonal/>
    </border>
    <border>
      <left/>
      <right style="thin">
        <color rgb="FF80828A"/>
      </right>
      <top/>
      <bottom style="thin">
        <color rgb="FF80828A"/>
      </bottom>
      <diagonal/>
    </border>
    <border>
      <left/>
      <right style="thin">
        <color rgb="FF80828A"/>
      </right>
      <top style="thin">
        <color rgb="FF80828A"/>
      </top>
      <bottom/>
      <diagonal/>
    </border>
    <border>
      <left style="thin">
        <color rgb="FF80828A"/>
      </left>
      <right/>
      <top style="thin">
        <color rgb="FF80828A"/>
      </top>
      <bottom/>
      <diagonal/>
    </border>
    <border>
      <left style="thin">
        <color rgb="FF80828A"/>
      </left>
      <right/>
      <top/>
      <bottom/>
      <diagonal/>
    </border>
    <border>
      <left style="thin">
        <color rgb="FF80828A"/>
      </left>
      <right/>
      <top/>
      <bottom style="thin">
        <color rgb="FF80828A"/>
      </bottom>
      <diagonal/>
    </border>
    <border>
      <left style="thin">
        <color theme="0"/>
      </left>
      <right style="thin">
        <color rgb="FF80828A"/>
      </right>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right/>
      <top style="thin">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style="thin">
        <color theme="0" tint="-0.499984740745262"/>
      </bottom>
      <diagonal/>
    </border>
    <border>
      <left style="thin">
        <color auto="1"/>
      </left>
      <right style="thin">
        <color auto="1"/>
      </right>
      <top style="thin">
        <color auto="1"/>
      </top>
      <bottom style="thin">
        <color auto="1"/>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0"/>
      </left>
      <right/>
      <top/>
      <bottom style="thin">
        <color rgb="FF80828A"/>
      </bottom>
      <diagonal/>
    </border>
    <border>
      <left style="thin">
        <color rgb="FF80828A"/>
      </left>
      <right style="thin">
        <color rgb="FF80828A"/>
      </right>
      <top/>
      <bottom/>
      <diagonal/>
    </border>
    <border>
      <left style="thin">
        <color rgb="FF80828A"/>
      </left>
      <right style="thin">
        <color rgb="FF80828A"/>
      </right>
      <top style="thin">
        <color rgb="FF80828A"/>
      </top>
      <bottom/>
      <diagonal/>
    </border>
    <border>
      <left style="thin">
        <color rgb="FF80828A"/>
      </left>
      <right style="thin">
        <color rgb="FF80828A"/>
      </right>
      <top/>
      <bottom style="thin">
        <color rgb="FF80828A"/>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rgb="FF80828A"/>
      </top>
      <bottom style="thin">
        <color theme="0" tint="-0.499984740745262"/>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1" fillId="0" borderId="0" applyNumberFormat="0" applyFill="0" applyBorder="0" applyAlignment="0" applyProtection="0"/>
  </cellStyleXfs>
  <cellXfs count="399">
    <xf numFmtId="0" fontId="0" fillId="0" borderId="0" xfId="0"/>
    <xf numFmtId="14" fontId="0" fillId="0" borderId="0" xfId="0" applyNumberFormat="1"/>
    <xf numFmtId="0" fontId="0" fillId="0" borderId="0" xfId="0" applyAlignment="1">
      <alignment wrapText="1"/>
    </xf>
    <xf numFmtId="1" fontId="0" fillId="0" borderId="0" xfId="0" applyNumberFormat="1" applyAlignment="1">
      <alignment wrapText="1"/>
    </xf>
    <xf numFmtId="0" fontId="0" fillId="0" borderId="0" xfId="0" applyNumberFormat="1"/>
    <xf numFmtId="0" fontId="0" fillId="0" borderId="0" xfId="0" applyFont="1"/>
    <xf numFmtId="0" fontId="3" fillId="0" borderId="0" xfId="0" applyFont="1"/>
    <xf numFmtId="0" fontId="9" fillId="0" borderId="0" xfId="0" applyFont="1"/>
    <xf numFmtId="0" fontId="11" fillId="0" borderId="0" xfId="0" applyFont="1"/>
    <xf numFmtId="1" fontId="0" fillId="0" borderId="0" xfId="0" applyNumberFormat="1"/>
    <xf numFmtId="49" fontId="0" fillId="0" borderId="0" xfId="0" applyNumberFormat="1"/>
    <xf numFmtId="0" fontId="5" fillId="0" borderId="0" xfId="0" applyFont="1" applyBorder="1"/>
    <xf numFmtId="0" fontId="0" fillId="0" borderId="0" xfId="0"/>
    <xf numFmtId="0" fontId="0" fillId="0" borderId="0" xfId="0" applyAlignment="1"/>
    <xf numFmtId="0" fontId="3" fillId="0" borderId="0" xfId="0" applyFont="1" applyAlignment="1"/>
    <xf numFmtId="14" fontId="12" fillId="0" borderId="0" xfId="0" applyNumberFormat="1" applyFont="1" applyFill="1" applyAlignment="1" applyProtection="1">
      <alignment vertical="top"/>
      <protection hidden="1"/>
    </xf>
    <xf numFmtId="14" fontId="0" fillId="0" borderId="0" xfId="0" applyNumberFormat="1" applyAlignment="1" applyProtection="1">
      <protection hidden="1"/>
    </xf>
    <xf numFmtId="14" fontId="0" fillId="3" borderId="0" xfId="0" applyNumberFormat="1" applyFill="1" applyAlignment="1"/>
    <xf numFmtId="14" fontId="12" fillId="3" borderId="0" xfId="0" applyNumberFormat="1" applyFont="1" applyFill="1" applyAlignment="1" applyProtection="1">
      <alignment vertical="top"/>
      <protection hidden="1"/>
    </xf>
    <xf numFmtId="14" fontId="0" fillId="0" borderId="0" xfId="0" applyNumberFormat="1" applyAlignment="1"/>
    <xf numFmtId="0" fontId="0" fillId="0" borderId="0" xfId="0" applyNumberFormat="1" applyAlignment="1"/>
    <xf numFmtId="14" fontId="0" fillId="0" borderId="0" xfId="0" applyNumberFormat="1"/>
    <xf numFmtId="164" fontId="0" fillId="0" borderId="0" xfId="0" applyNumberFormat="1"/>
    <xf numFmtId="0" fontId="0" fillId="0" borderId="0" xfId="0" applyBorder="1"/>
    <xf numFmtId="0" fontId="0" fillId="0" borderId="0" xfId="0" applyFill="1" applyBorder="1"/>
    <xf numFmtId="0" fontId="0" fillId="4" borderId="0" xfId="0" applyFill="1" applyBorder="1"/>
    <xf numFmtId="0" fontId="11" fillId="4" borderId="0" xfId="0" applyFont="1" applyFill="1" applyBorder="1"/>
    <xf numFmtId="0" fontId="5" fillId="4" borderId="0" xfId="0" applyFont="1" applyFill="1" applyBorder="1"/>
    <xf numFmtId="0" fontId="7" fillId="4" borderId="0" xfId="1" applyFont="1" applyFill="1" applyBorder="1"/>
    <xf numFmtId="0" fontId="0" fillId="4" borderId="0" xfId="0" applyFill="1" applyBorder="1" applyAlignment="1">
      <alignment vertical="top" wrapText="1"/>
    </xf>
    <xf numFmtId="0" fontId="9" fillId="4" borderId="0" xfId="0" applyFont="1" applyFill="1" applyBorder="1"/>
    <xf numFmtId="0" fontId="10" fillId="4" borderId="0" xfId="1" applyFont="1" applyFill="1" applyBorder="1"/>
    <xf numFmtId="0" fontId="0" fillId="4" borderId="0" xfId="0" applyFill="1" applyBorder="1" applyAlignment="1">
      <alignment vertical="top" wrapText="1"/>
    </xf>
    <xf numFmtId="0" fontId="9" fillId="0" borderId="2" xfId="0" applyFont="1" applyBorder="1"/>
    <xf numFmtId="0" fontId="13" fillId="0" borderId="1" xfId="0" applyFont="1" applyBorder="1"/>
    <xf numFmtId="0" fontId="14" fillId="0" borderId="1" xfId="0" applyFont="1" applyBorder="1"/>
    <xf numFmtId="0" fontId="15" fillId="0" borderId="1" xfId="0" applyFont="1" applyBorder="1"/>
    <xf numFmtId="0" fontId="17" fillId="0" borderId="1" xfId="0" applyFont="1" applyBorder="1"/>
    <xf numFmtId="0" fontId="13" fillId="0" borderId="1" xfId="0" applyFont="1" applyFill="1" applyBorder="1"/>
    <xf numFmtId="0" fontId="5" fillId="0" borderId="1" xfId="0" applyFont="1" applyBorder="1"/>
    <xf numFmtId="0" fontId="9" fillId="0" borderId="1" xfId="0" applyFont="1" applyBorder="1"/>
    <xf numFmtId="0" fontId="10" fillId="0" borderId="1" xfId="1" applyFont="1" applyBorder="1"/>
    <xf numFmtId="0" fontId="0" fillId="0" borderId="1" xfId="0" applyBorder="1"/>
    <xf numFmtId="0" fontId="18" fillId="0" borderId="0" xfId="0" applyFont="1"/>
    <xf numFmtId="0" fontId="19" fillId="0" borderId="0" xfId="0" applyFont="1" applyBorder="1"/>
    <xf numFmtId="0" fontId="19" fillId="4" borderId="0" xfId="0" applyFont="1" applyFill="1" applyBorder="1"/>
    <xf numFmtId="0" fontId="19" fillId="4" borderId="0" xfId="0" applyFont="1" applyFill="1" applyBorder="1" applyAlignment="1">
      <alignment vertical="top" wrapText="1"/>
    </xf>
    <xf numFmtId="0" fontId="21" fillId="4" borderId="0" xfId="0" applyFont="1" applyFill="1" applyBorder="1" applyAlignment="1">
      <alignment vertical="top" wrapText="1"/>
    </xf>
    <xf numFmtId="0" fontId="22" fillId="4" borderId="0" xfId="0" applyFont="1" applyFill="1" applyBorder="1"/>
    <xf numFmtId="0" fontId="0" fillId="4" borderId="0" xfId="0" applyFill="1" applyBorder="1" applyAlignment="1"/>
    <xf numFmtId="0" fontId="19" fillId="4" borderId="0" xfId="0" applyFont="1" applyFill="1" applyBorder="1" applyAlignment="1"/>
    <xf numFmtId="0" fontId="21" fillId="4" borderId="0" xfId="0" applyFont="1" applyFill="1" applyBorder="1" applyAlignment="1">
      <alignment vertical="top" wrapText="1"/>
    </xf>
    <xf numFmtId="49" fontId="19" fillId="4" borderId="0" xfId="0" applyNumberFormat="1" applyFont="1" applyFill="1" applyBorder="1" applyAlignment="1">
      <alignment horizontal="left"/>
    </xf>
    <xf numFmtId="0" fontId="5" fillId="0" borderId="7" xfId="0" applyFont="1" applyBorder="1"/>
    <xf numFmtId="0" fontId="5" fillId="4" borderId="7" xfId="0" applyFont="1" applyFill="1" applyBorder="1"/>
    <xf numFmtId="0" fontId="0" fillId="4" borderId="0" xfId="0" applyFill="1"/>
    <xf numFmtId="0" fontId="11" fillId="4" borderId="0" xfId="0" applyFont="1" applyFill="1"/>
    <xf numFmtId="0" fontId="18" fillId="4" borderId="0" xfId="0" applyFont="1" applyFill="1"/>
    <xf numFmtId="0" fontId="9" fillId="4" borderId="0" xfId="0" applyFont="1" applyFill="1"/>
    <xf numFmtId="0" fontId="10" fillId="0" borderId="3" xfId="1" applyFont="1" applyBorder="1"/>
    <xf numFmtId="0" fontId="5" fillId="0" borderId="9" xfId="0" applyFont="1" applyBorder="1"/>
    <xf numFmtId="0" fontId="19" fillId="0" borderId="9" xfId="0" applyFont="1" applyBorder="1"/>
    <xf numFmtId="0" fontId="5" fillId="0" borderId="2" xfId="0" applyFont="1" applyBorder="1"/>
    <xf numFmtId="0" fontId="0" fillId="0" borderId="2" xfId="0" applyBorder="1"/>
    <xf numFmtId="0" fontId="26" fillId="0" borderId="1" xfId="0" applyFont="1" applyBorder="1"/>
    <xf numFmtId="0" fontId="28" fillId="4" borderId="0" xfId="0" applyFont="1" applyFill="1"/>
    <xf numFmtId="0" fontId="28" fillId="0" borderId="0" xfId="0" applyFont="1"/>
    <xf numFmtId="49" fontId="24" fillId="4" borderId="0" xfId="0" applyNumberFormat="1" applyFont="1" applyFill="1" applyBorder="1" applyAlignment="1">
      <alignment horizontal="left"/>
    </xf>
    <xf numFmtId="0" fontId="29" fillId="4" borderId="0" xfId="0" applyFont="1" applyFill="1"/>
    <xf numFmtId="0" fontId="29" fillId="0" borderId="0" xfId="0" applyFont="1"/>
    <xf numFmtId="49" fontId="19" fillId="5" borderId="12" xfId="0" applyNumberFormat="1" applyFont="1" applyFill="1" applyBorder="1" applyAlignment="1">
      <alignment horizontal="left"/>
    </xf>
    <xf numFmtId="49" fontId="24" fillId="4" borderId="14" xfId="0" applyNumberFormat="1" applyFont="1" applyFill="1" applyBorder="1" applyAlignment="1">
      <alignment horizontal="left"/>
    </xf>
    <xf numFmtId="49" fontId="19" fillId="4" borderId="13" xfId="0" applyNumberFormat="1" applyFont="1" applyFill="1" applyBorder="1" applyAlignment="1">
      <alignment horizontal="left"/>
    </xf>
    <xf numFmtId="0" fontId="20" fillId="4" borderId="16" xfId="0" applyFont="1" applyFill="1" applyBorder="1"/>
    <xf numFmtId="0" fontId="7" fillId="5" borderId="12" xfId="1" applyFont="1" applyFill="1" applyBorder="1"/>
    <xf numFmtId="0" fontId="23" fillId="4" borderId="0" xfId="0" applyFont="1" applyFill="1" applyBorder="1"/>
    <xf numFmtId="0" fontId="20" fillId="4" borderId="0" xfId="0" applyFont="1" applyFill="1" applyBorder="1"/>
    <xf numFmtId="0" fontId="2" fillId="4" borderId="0" xfId="0" applyFont="1" applyFill="1" applyBorder="1"/>
    <xf numFmtId="0" fontId="5" fillId="5" borderId="12" xfId="0" applyFont="1" applyFill="1" applyBorder="1"/>
    <xf numFmtId="0" fontId="19" fillId="5" borderId="17" xfId="0" applyFont="1" applyFill="1" applyBorder="1"/>
    <xf numFmtId="49" fontId="19" fillId="5" borderId="17" xfId="0" applyNumberFormat="1" applyFont="1" applyFill="1" applyBorder="1" applyAlignment="1">
      <alignment horizontal="left"/>
    </xf>
    <xf numFmtId="0" fontId="5" fillId="5" borderId="20" xfId="0" applyFont="1" applyFill="1" applyBorder="1"/>
    <xf numFmtId="0" fontId="12" fillId="5" borderId="21" xfId="0" applyFont="1" applyFill="1" applyBorder="1"/>
    <xf numFmtId="0" fontId="19" fillId="5" borderId="22" xfId="0" applyFont="1" applyFill="1" applyBorder="1"/>
    <xf numFmtId="0" fontId="19" fillId="5" borderId="20" xfId="0" applyFont="1" applyFill="1" applyBorder="1"/>
    <xf numFmtId="14" fontId="19" fillId="5" borderId="17" xfId="0" applyNumberFormat="1" applyFont="1" applyFill="1" applyBorder="1" applyAlignment="1">
      <alignment horizontal="left"/>
    </xf>
    <xf numFmtId="0" fontId="19" fillId="5" borderId="12" xfId="0" applyFont="1" applyFill="1" applyBorder="1"/>
    <xf numFmtId="0" fontId="19" fillId="2" borderId="21" xfId="0" applyFont="1" applyFill="1" applyBorder="1"/>
    <xf numFmtId="0" fontId="19" fillId="5" borderId="17" xfId="0" applyFont="1" applyFill="1" applyBorder="1" applyAlignment="1">
      <alignment horizontal="left"/>
    </xf>
    <xf numFmtId="0" fontId="23" fillId="5" borderId="20" xfId="0" applyFont="1" applyFill="1" applyBorder="1"/>
    <xf numFmtId="49" fontId="24" fillId="5" borderId="12" xfId="0" applyNumberFormat="1" applyFont="1" applyFill="1" applyBorder="1" applyAlignment="1">
      <alignment horizontal="left"/>
    </xf>
    <xf numFmtId="0" fontId="19" fillId="5" borderId="22" xfId="0" applyFont="1" applyFill="1" applyBorder="1" applyAlignment="1">
      <alignment wrapText="1"/>
    </xf>
    <xf numFmtId="0" fontId="7" fillId="4" borderId="5" xfId="1" applyFont="1" applyFill="1" applyBorder="1"/>
    <xf numFmtId="0" fontId="19" fillId="2" borderId="22" xfId="0" applyFont="1" applyFill="1" applyBorder="1"/>
    <xf numFmtId="49" fontId="19" fillId="4" borderId="14" xfId="0" applyNumberFormat="1" applyFont="1" applyFill="1" applyBorder="1" applyAlignment="1">
      <alignment horizontal="left"/>
    </xf>
    <xf numFmtId="0" fontId="20" fillId="5" borderId="20" xfId="0" applyFont="1" applyFill="1" applyBorder="1" applyAlignment="1"/>
    <xf numFmtId="0" fontId="20" fillId="4" borderId="0" xfId="0" applyFont="1" applyFill="1" applyBorder="1" applyAlignment="1"/>
    <xf numFmtId="49" fontId="23" fillId="4" borderId="0" xfId="0" applyNumberFormat="1" applyFont="1" applyFill="1" applyBorder="1"/>
    <xf numFmtId="49" fontId="19" fillId="0" borderId="10" xfId="0" applyNumberFormat="1" applyFont="1" applyBorder="1" applyAlignment="1">
      <alignment horizontal="left"/>
    </xf>
    <xf numFmtId="0" fontId="19" fillId="5" borderId="22" xfId="0" applyFont="1" applyFill="1" applyBorder="1" applyAlignment="1">
      <alignment vertical="center"/>
    </xf>
    <xf numFmtId="0" fontId="12" fillId="2" borderId="21" xfId="0" applyFont="1" applyFill="1" applyBorder="1"/>
    <xf numFmtId="0" fontId="12" fillId="5" borderId="22" xfId="0" applyFont="1" applyFill="1" applyBorder="1"/>
    <xf numFmtId="0" fontId="19" fillId="5" borderId="22" xfId="0" applyFont="1" applyFill="1" applyBorder="1" applyAlignment="1">
      <alignment vertical="center" wrapText="1"/>
    </xf>
    <xf numFmtId="0" fontId="19" fillId="5" borderId="17" xfId="0" applyFont="1" applyFill="1" applyBorder="1" applyAlignment="1">
      <alignment horizontal="left" vertical="top"/>
    </xf>
    <xf numFmtId="0" fontId="8" fillId="0" borderId="23" xfId="0" applyFont="1" applyBorder="1"/>
    <xf numFmtId="0" fontId="10" fillId="0" borderId="4" xfId="1" applyFont="1" applyBorder="1"/>
    <xf numFmtId="0" fontId="12" fillId="0" borderId="5" xfId="0" applyFont="1" applyBorder="1" applyAlignment="1">
      <alignment vertical="top" wrapText="1"/>
    </xf>
    <xf numFmtId="0" fontId="6" fillId="4" borderId="0" xfId="0" applyFont="1" applyFill="1" applyBorder="1"/>
    <xf numFmtId="0" fontId="8" fillId="4" borderId="0" xfId="0" applyFont="1" applyFill="1" applyBorder="1"/>
    <xf numFmtId="0" fontId="5" fillId="0" borderId="4" xfId="0" applyFont="1" applyBorder="1"/>
    <xf numFmtId="0" fontId="19" fillId="0" borderId="6" xfId="0" applyFont="1" applyBorder="1"/>
    <xf numFmtId="49" fontId="19" fillId="4" borderId="10" xfId="0" applyNumberFormat="1" applyFont="1" applyFill="1" applyBorder="1" applyAlignment="1">
      <alignment horizontal="left"/>
    </xf>
    <xf numFmtId="0" fontId="5" fillId="0" borderId="10" xfId="0" applyFont="1" applyBorder="1"/>
    <xf numFmtId="0" fontId="5" fillId="0" borderId="14" xfId="0" applyFont="1" applyBorder="1"/>
    <xf numFmtId="0" fontId="21" fillId="4" borderId="0" xfId="0" applyFont="1" applyFill="1" applyBorder="1" applyAlignment="1">
      <alignment vertical="top" wrapText="1" shrinkToFit="1"/>
    </xf>
    <xf numFmtId="0" fontId="5" fillId="0" borderId="6" xfId="0" applyFont="1" applyBorder="1"/>
    <xf numFmtId="0" fontId="19" fillId="6" borderId="21" xfId="0" applyFont="1" applyFill="1" applyBorder="1"/>
    <xf numFmtId="0" fontId="19" fillId="6" borderId="21" xfId="0" applyFont="1" applyFill="1" applyBorder="1" applyAlignment="1">
      <alignment wrapText="1"/>
    </xf>
    <xf numFmtId="0" fontId="21" fillId="0" borderId="14" xfId="0" applyFont="1" applyBorder="1" applyAlignment="1">
      <alignment vertical="top" wrapText="1"/>
    </xf>
    <xf numFmtId="0" fontId="12" fillId="4" borderId="26" xfId="0" applyFont="1" applyFill="1" applyBorder="1"/>
    <xf numFmtId="49" fontId="19" fillId="4" borderId="27" xfId="0" applyNumberFormat="1" applyFont="1" applyFill="1" applyBorder="1" applyAlignment="1">
      <alignment horizontal="left"/>
    </xf>
    <xf numFmtId="0" fontId="19" fillId="4" borderId="27" xfId="0" applyFont="1" applyFill="1" applyBorder="1"/>
    <xf numFmtId="49" fontId="19" fillId="4" borderId="28" xfId="0" applyNumberFormat="1" applyFont="1" applyFill="1" applyBorder="1" applyAlignment="1">
      <alignment horizontal="left"/>
    </xf>
    <xf numFmtId="0" fontId="19" fillId="2" borderId="31" xfId="0" applyFont="1" applyFill="1" applyBorder="1"/>
    <xf numFmtId="49" fontId="19" fillId="6" borderId="27" xfId="0" applyNumberFormat="1" applyFont="1" applyFill="1" applyBorder="1" applyAlignment="1">
      <alignment horizontal="left"/>
    </xf>
    <xf numFmtId="14" fontId="19" fillId="6" borderId="26" xfId="0" applyNumberFormat="1" applyFont="1" applyFill="1" applyBorder="1" applyAlignment="1">
      <alignment horizontal="left"/>
    </xf>
    <xf numFmtId="0" fontId="19" fillId="6" borderId="33" xfId="0" applyFont="1" applyFill="1" applyBorder="1"/>
    <xf numFmtId="0" fontId="19" fillId="2" borderId="34" xfId="0" applyFont="1" applyFill="1" applyBorder="1"/>
    <xf numFmtId="0" fontId="19" fillId="2" borderId="24" xfId="0" applyFont="1" applyFill="1" applyBorder="1"/>
    <xf numFmtId="0" fontId="19" fillId="6" borderId="34" xfId="0" applyFont="1" applyFill="1" applyBorder="1"/>
    <xf numFmtId="0" fontId="19" fillId="6" borderId="26" xfId="0" applyFont="1" applyFill="1" applyBorder="1" applyAlignment="1">
      <alignment horizontal="left"/>
    </xf>
    <xf numFmtId="0" fontId="0" fillId="6" borderId="27" xfId="0" applyFill="1" applyBorder="1" applyAlignment="1">
      <alignment vertical="top" wrapText="1"/>
    </xf>
    <xf numFmtId="0" fontId="0" fillId="6" borderId="33" xfId="0" applyFill="1" applyBorder="1" applyAlignment="1">
      <alignment vertical="top" wrapText="1"/>
    </xf>
    <xf numFmtId="0" fontId="2" fillId="0" borderId="1" xfId="0" applyFont="1" applyBorder="1"/>
    <xf numFmtId="0" fontId="11" fillId="0" borderId="1" xfId="0" applyFont="1" applyBorder="1"/>
    <xf numFmtId="0" fontId="4" fillId="0" borderId="1" xfId="0" applyFont="1" applyBorder="1"/>
    <xf numFmtId="0" fontId="2" fillId="0" borderId="1" xfId="0" applyFont="1" applyFill="1" applyBorder="1"/>
    <xf numFmtId="0" fontId="2" fillId="4" borderId="1" xfId="0" applyFont="1" applyFill="1" applyBorder="1"/>
    <xf numFmtId="0" fontId="27" fillId="4" borderId="1" xfId="0" applyFont="1" applyFill="1" applyBorder="1"/>
    <xf numFmtId="0" fontId="27" fillId="0" borderId="1" xfId="0" applyFont="1" applyBorder="1"/>
    <xf numFmtId="0" fontId="29" fillId="0" borderId="1" xfId="0" applyFont="1" applyBorder="1"/>
    <xf numFmtId="0" fontId="9" fillId="4" borderId="1" xfId="0" applyFont="1" applyFill="1" applyBorder="1"/>
    <xf numFmtId="0" fontId="6" fillId="4" borderId="1" xfId="0" applyFont="1" applyFill="1" applyBorder="1"/>
    <xf numFmtId="0" fontId="16" fillId="0" borderId="1" xfId="1" applyFont="1" applyBorder="1"/>
    <xf numFmtId="0" fontId="17" fillId="4" borderId="1" xfId="0" applyFont="1" applyFill="1" applyBorder="1"/>
    <xf numFmtId="0" fontId="15" fillId="4" borderId="1" xfId="0" applyFont="1" applyFill="1" applyBorder="1"/>
    <xf numFmtId="0" fontId="15" fillId="4" borderId="1" xfId="0" applyFont="1" applyFill="1" applyBorder="1" applyAlignment="1">
      <alignment vertical="top"/>
    </xf>
    <xf numFmtId="0" fontId="15" fillId="0" borderId="1" xfId="0" applyFont="1" applyFill="1" applyBorder="1"/>
    <xf numFmtId="0" fontId="25" fillId="0" borderId="1" xfId="0" applyFont="1" applyBorder="1"/>
    <xf numFmtId="0" fontId="25" fillId="0" borderId="1" xfId="0" applyNumberFormat="1" applyFont="1" applyBorder="1"/>
    <xf numFmtId="0" fontId="13" fillId="4" borderId="1" xfId="0" applyFont="1" applyFill="1" applyBorder="1"/>
    <xf numFmtId="0" fontId="15" fillId="0" borderId="1" xfId="0" applyNumberFormat="1" applyFont="1" applyBorder="1" applyAlignment="1">
      <alignment wrapText="1"/>
    </xf>
    <xf numFmtId="0" fontId="15" fillId="4" borderId="1" xfId="0" applyNumberFormat="1" applyFont="1" applyFill="1" applyBorder="1" applyAlignment="1">
      <alignment wrapText="1"/>
    </xf>
    <xf numFmtId="0" fontId="19" fillId="0" borderId="11" xfId="0" applyFont="1" applyBorder="1" applyAlignment="1" applyProtection="1">
      <alignment wrapText="1"/>
      <protection locked="0"/>
    </xf>
    <xf numFmtId="49" fontId="19" fillId="0" borderId="11" xfId="0" applyNumberFormat="1" applyFont="1" applyBorder="1" applyAlignment="1" applyProtection="1">
      <alignment horizontal="left"/>
      <protection locked="0"/>
    </xf>
    <xf numFmtId="14" fontId="19" fillId="0" borderId="11" xfId="0" applyNumberFormat="1" applyFont="1" applyBorder="1" applyAlignment="1" applyProtection="1">
      <alignment horizontal="left"/>
      <protection locked="0"/>
    </xf>
    <xf numFmtId="0" fontId="19" fillId="0" borderId="11" xfId="0" applyFont="1" applyBorder="1" applyAlignment="1" applyProtection="1">
      <alignment horizontal="left"/>
      <protection locked="0"/>
    </xf>
    <xf numFmtId="0" fontId="19" fillId="0" borderId="11" xfId="0" applyFont="1" applyBorder="1" applyProtection="1">
      <protection locked="0"/>
    </xf>
    <xf numFmtId="0" fontId="19" fillId="0" borderId="11" xfId="0" applyFont="1" applyFill="1" applyBorder="1" applyProtection="1">
      <protection locked="0"/>
    </xf>
    <xf numFmtId="0" fontId="19" fillId="4" borderId="11" xfId="0" applyFont="1" applyFill="1" applyBorder="1" applyAlignment="1" applyProtection="1">
      <alignment horizontal="left"/>
      <protection locked="0"/>
    </xf>
    <xf numFmtId="14" fontId="19" fillId="0" borderId="25" xfId="0" applyNumberFormat="1" applyFont="1" applyBorder="1" applyAlignment="1" applyProtection="1">
      <alignment horizontal="left"/>
      <protection locked="0"/>
    </xf>
    <xf numFmtId="0" fontId="30" fillId="0" borderId="1" xfId="0" applyFont="1" applyBorder="1"/>
    <xf numFmtId="0" fontId="30" fillId="4" borderId="0" xfId="0" applyFont="1" applyFill="1"/>
    <xf numFmtId="0" fontId="0" fillId="0" borderId="35" xfId="0" applyBorder="1"/>
    <xf numFmtId="0" fontId="13" fillId="0" borderId="5" xfId="0" applyFont="1" applyBorder="1"/>
    <xf numFmtId="0" fontId="2" fillId="0" borderId="5" xfId="0" applyFont="1" applyBorder="1"/>
    <xf numFmtId="0" fontId="0" fillId="4" borderId="1" xfId="0" applyFill="1" applyBorder="1"/>
    <xf numFmtId="0" fontId="31" fillId="0" borderId="1" xfId="0" applyFont="1" applyBorder="1"/>
    <xf numFmtId="0" fontId="31" fillId="0" borderId="5" xfId="0" applyFont="1" applyBorder="1"/>
    <xf numFmtId="0" fontId="32" fillId="0" borderId="1" xfId="0" applyFont="1" applyBorder="1"/>
    <xf numFmtId="0" fontId="33" fillId="0" borderId="1" xfId="0" applyFont="1" applyBorder="1"/>
    <xf numFmtId="0" fontId="33" fillId="4" borderId="1" xfId="0" applyFont="1" applyFill="1" applyBorder="1"/>
    <xf numFmtId="0" fontId="8" fillId="4" borderId="1" xfId="0" applyFont="1" applyFill="1" applyBorder="1"/>
    <xf numFmtId="0" fontId="31" fillId="0" borderId="1" xfId="0" applyFont="1" applyFill="1" applyBorder="1"/>
    <xf numFmtId="0" fontId="31" fillId="4" borderId="1" xfId="0" applyFont="1" applyFill="1" applyBorder="1"/>
    <xf numFmtId="0" fontId="34" fillId="0" borderId="1" xfId="0" applyFont="1" applyBorder="1"/>
    <xf numFmtId="0" fontId="34" fillId="4" borderId="1" xfId="0" applyFont="1" applyFill="1" applyBorder="1"/>
    <xf numFmtId="0" fontId="0" fillId="4" borderId="7" xfId="0" applyFill="1" applyBorder="1"/>
    <xf numFmtId="0" fontId="0" fillId="0" borderId="5" xfId="0" applyBorder="1"/>
    <xf numFmtId="0" fontId="0" fillId="4" borderId="5" xfId="0" applyFill="1" applyBorder="1"/>
    <xf numFmtId="49" fontId="30" fillId="4" borderId="0" xfId="0" applyNumberFormat="1" applyFont="1" applyFill="1" applyBorder="1" applyAlignment="1">
      <alignment horizontal="left"/>
    </xf>
    <xf numFmtId="0" fontId="30" fillId="0" borderId="0" xfId="0" applyFont="1"/>
    <xf numFmtId="0" fontId="35" fillId="0" borderId="1" xfId="0" applyFont="1" applyBorder="1"/>
    <xf numFmtId="49" fontId="35" fillId="4" borderId="0" xfId="0" applyNumberFormat="1" applyFont="1" applyFill="1"/>
    <xf numFmtId="0" fontId="35" fillId="4" borderId="7" xfId="0" applyFont="1" applyFill="1" applyBorder="1"/>
    <xf numFmtId="0" fontId="36" fillId="2" borderId="34" xfId="0" applyFont="1" applyFill="1" applyBorder="1"/>
    <xf numFmtId="0" fontId="15" fillId="0" borderId="7" xfId="0" applyFont="1" applyBorder="1"/>
    <xf numFmtId="0" fontId="37" fillId="0" borderId="1" xfId="0" applyFont="1" applyBorder="1"/>
    <xf numFmtId="0" fontId="35" fillId="4" borderId="1" xfId="0" applyFont="1" applyFill="1" applyBorder="1"/>
    <xf numFmtId="0" fontId="35" fillId="4" borderId="5" xfId="0" applyFont="1" applyFill="1" applyBorder="1"/>
    <xf numFmtId="0" fontId="35" fillId="4" borderId="0" xfId="0" applyFont="1" applyFill="1"/>
    <xf numFmtId="0" fontId="38" fillId="4" borderId="0" xfId="0" applyFont="1" applyFill="1"/>
    <xf numFmtId="0" fontId="35" fillId="4" borderId="0" xfId="0" applyFont="1" applyFill="1" applyBorder="1"/>
    <xf numFmtId="0" fontId="38" fillId="4" borderId="0" xfId="0" applyFont="1" applyFill="1" applyBorder="1"/>
    <xf numFmtId="49" fontId="19" fillId="6" borderId="0" xfId="0" applyNumberFormat="1" applyFont="1" applyFill="1" applyBorder="1" applyAlignment="1">
      <alignment horizontal="left"/>
    </xf>
    <xf numFmtId="0" fontId="12" fillId="2" borderId="31" xfId="0" applyFont="1" applyFill="1" applyBorder="1"/>
    <xf numFmtId="0" fontId="0" fillId="0" borderId="0" xfId="0" quotePrefix="1"/>
    <xf numFmtId="14" fontId="19" fillId="0" borderId="11" xfId="0" applyNumberFormat="1" applyFont="1" applyFill="1" applyBorder="1" applyAlignment="1" applyProtection="1">
      <alignment horizontal="left"/>
      <protection locked="0"/>
    </xf>
    <xf numFmtId="0" fontId="12" fillId="0" borderId="1" xfId="0" applyFont="1" applyBorder="1"/>
    <xf numFmtId="0" fontId="12" fillId="4" borderId="0" xfId="0" applyFont="1" applyFill="1"/>
    <xf numFmtId="0" fontId="12" fillId="0" borderId="6" xfId="0" applyFont="1" applyBorder="1"/>
    <xf numFmtId="0" fontId="12" fillId="4" borderId="0" xfId="0" applyFont="1" applyFill="1" applyBorder="1"/>
    <xf numFmtId="0" fontId="12" fillId="0" borderId="0" xfId="0" applyFont="1"/>
    <xf numFmtId="2" fontId="19" fillId="0" borderId="25" xfId="0" applyNumberFormat="1" applyFont="1" applyBorder="1" applyAlignment="1" applyProtection="1">
      <alignment horizontal="left"/>
      <protection locked="0"/>
    </xf>
    <xf numFmtId="2" fontId="0" fillId="0" borderId="0" xfId="0" applyNumberFormat="1"/>
    <xf numFmtId="0" fontId="36" fillId="0" borderId="1" xfId="0" applyFont="1" applyBorder="1"/>
    <xf numFmtId="0" fontId="0" fillId="4" borderId="0" xfId="0" applyFill="1" applyAlignment="1">
      <alignment vertical="center"/>
    </xf>
    <xf numFmtId="0" fontId="9" fillId="0" borderId="2" xfId="0" applyFont="1" applyBorder="1" applyAlignment="1">
      <alignment vertical="center"/>
    </xf>
    <xf numFmtId="0" fontId="5" fillId="0" borderId="1" xfId="0" applyFont="1" applyBorder="1" applyAlignment="1">
      <alignment vertical="center"/>
    </xf>
    <xf numFmtId="0" fontId="35" fillId="4" borderId="0" xfId="0" applyFont="1" applyFill="1" applyAlignment="1">
      <alignment vertical="center"/>
    </xf>
    <xf numFmtId="0" fontId="15" fillId="0" borderId="1" xfId="0" applyFont="1" applyBorder="1" applyAlignment="1">
      <alignment vertical="center"/>
    </xf>
    <xf numFmtId="0" fontId="13" fillId="0" borderId="1" xfId="0" applyFont="1" applyBorder="1" applyAlignment="1">
      <alignment vertical="center"/>
    </xf>
    <xf numFmtId="0" fontId="31" fillId="0" borderId="1" xfId="0" applyFont="1" applyBorder="1" applyAlignment="1">
      <alignment vertical="center"/>
    </xf>
    <xf numFmtId="0" fontId="2" fillId="0" borderId="1" xfId="0" applyFont="1" applyBorder="1" applyAlignment="1">
      <alignment vertical="center"/>
    </xf>
    <xf numFmtId="0" fontId="0" fillId="0" borderId="0" xfId="0" applyAlignment="1">
      <alignment vertical="center"/>
    </xf>
    <xf numFmtId="0" fontId="12" fillId="0" borderId="36" xfId="0" applyFont="1" applyBorder="1" applyAlignment="1">
      <alignment vertical="top"/>
    </xf>
    <xf numFmtId="0" fontId="12" fillId="0" borderId="37" xfId="0" applyFont="1" applyBorder="1" applyAlignment="1">
      <alignment vertical="top"/>
    </xf>
    <xf numFmtId="0" fontId="0" fillId="4" borderId="0" xfId="0" applyFill="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vertical="center" wrapText="1"/>
    </xf>
    <xf numFmtId="0" fontId="0" fillId="4" borderId="0" xfId="0" applyFill="1" applyBorder="1" applyAlignment="1">
      <alignment wrapText="1"/>
    </xf>
    <xf numFmtId="0" fontId="41" fillId="4" borderId="0" xfId="0" applyFont="1" applyFill="1" applyBorder="1" applyAlignment="1">
      <alignment vertical="center" wrapText="1"/>
    </xf>
    <xf numFmtId="0" fontId="8" fillId="4" borderId="0" xfId="0" applyFont="1" applyFill="1" applyBorder="1" applyAlignment="1">
      <alignment vertical="center" wrapText="1"/>
    </xf>
    <xf numFmtId="0" fontId="41" fillId="4" borderId="0" xfId="0" applyFont="1" applyFill="1" applyBorder="1" applyAlignment="1">
      <alignment vertical="top" wrapText="1"/>
    </xf>
    <xf numFmtId="0" fontId="33" fillId="4" borderId="0" xfId="0" applyFont="1" applyFill="1" applyBorder="1" applyAlignment="1">
      <alignment vertical="center" wrapText="1"/>
    </xf>
    <xf numFmtId="0" fontId="0" fillId="4" borderId="0" xfId="0" applyFont="1" applyFill="1" applyAlignment="1">
      <alignment wrapText="1"/>
    </xf>
    <xf numFmtId="0" fontId="0" fillId="4" borderId="0" xfId="0" applyFont="1" applyFill="1" applyBorder="1" applyAlignment="1">
      <alignment wrapText="1"/>
    </xf>
    <xf numFmtId="0" fontId="42" fillId="4" borderId="0" xfId="0" quotePrefix="1" applyFont="1" applyFill="1" applyBorder="1" applyAlignment="1">
      <alignment vertical="center" wrapText="1"/>
    </xf>
    <xf numFmtId="0" fontId="44" fillId="4" borderId="0" xfId="0" applyFont="1" applyFill="1" applyBorder="1" applyAlignment="1">
      <alignment vertical="center" wrapText="1"/>
    </xf>
    <xf numFmtId="0" fontId="5" fillId="4" borderId="0" xfId="0" quotePrefix="1" applyFont="1" applyFill="1" applyBorder="1" applyAlignment="1">
      <alignment vertical="center" wrapText="1"/>
    </xf>
    <xf numFmtId="0" fontId="5" fillId="4" borderId="0" xfId="0" applyFont="1" applyFill="1" applyBorder="1" applyAlignment="1">
      <alignment horizontal="left" vertical="top" wrapText="1"/>
    </xf>
    <xf numFmtId="0" fontId="5" fillId="4" borderId="0" xfId="0" applyFont="1" applyFill="1" applyBorder="1" applyAlignment="1">
      <alignment horizontal="left" vertical="center" wrapText="1"/>
    </xf>
    <xf numFmtId="0" fontId="40" fillId="4" borderId="0" xfId="0" applyFont="1" applyFill="1" applyBorder="1" applyAlignment="1">
      <alignment vertical="center" wrapText="1"/>
    </xf>
    <xf numFmtId="0" fontId="45" fillId="4" borderId="0" xfId="0" applyFont="1" applyFill="1" applyBorder="1" applyAlignment="1">
      <alignment horizontal="right" vertical="top" wrapText="1"/>
    </xf>
    <xf numFmtId="0" fontId="39" fillId="4" borderId="0" xfId="0" applyFont="1" applyFill="1" applyAlignment="1">
      <alignment wrapText="1"/>
    </xf>
    <xf numFmtId="0" fontId="46" fillId="4" borderId="0" xfId="0" applyFont="1" applyFill="1" applyBorder="1" applyAlignment="1">
      <alignment vertical="center" wrapText="1"/>
    </xf>
    <xf numFmtId="0" fontId="44" fillId="4" borderId="0" xfId="0" applyFont="1" applyFill="1" applyBorder="1" applyAlignment="1">
      <alignment vertical="center"/>
    </xf>
    <xf numFmtId="0" fontId="47" fillId="4" borderId="0" xfId="0" applyFont="1" applyFill="1" applyAlignment="1">
      <alignment wrapText="1"/>
    </xf>
    <xf numFmtId="0" fontId="5" fillId="4" borderId="0" xfId="0" quotePrefix="1" applyFont="1" applyFill="1" applyBorder="1" applyAlignment="1">
      <alignment vertical="top" wrapText="1"/>
    </xf>
    <xf numFmtId="0" fontId="12" fillId="0" borderId="9" xfId="0" applyFont="1" applyBorder="1"/>
    <xf numFmtId="0" fontId="21" fillId="4" borderId="0" xfId="0" applyFont="1" applyFill="1" applyBorder="1" applyAlignment="1">
      <alignment vertical="top" wrapText="1"/>
    </xf>
    <xf numFmtId="0" fontId="19" fillId="0" borderId="25" xfId="0" applyFont="1" applyBorder="1" applyAlignment="1" applyProtection="1">
      <alignment horizontal="left"/>
    </xf>
    <xf numFmtId="14" fontId="19" fillId="0" borderId="25" xfId="0" applyNumberFormat="1" applyFont="1" applyBorder="1" applyAlignment="1" applyProtection="1">
      <alignment horizontal="left"/>
    </xf>
    <xf numFmtId="0" fontId="19" fillId="2" borderId="31" xfId="0" applyFont="1" applyFill="1" applyBorder="1" applyAlignment="1">
      <alignment wrapText="1"/>
    </xf>
    <xf numFmtId="0" fontId="2" fillId="0" borderId="2" xfId="0" applyFont="1" applyBorder="1"/>
    <xf numFmtId="0" fontId="2" fillId="0" borderId="4" xfId="0" applyFont="1" applyBorder="1"/>
    <xf numFmtId="0" fontId="11" fillId="0" borderId="2" xfId="0" applyFont="1" applyBorder="1"/>
    <xf numFmtId="0" fontId="4" fillId="0" borderId="2" xfId="0" applyFont="1" applyBorder="1"/>
    <xf numFmtId="0" fontId="2" fillId="0" borderId="2" xfId="0" applyFont="1" applyFill="1" applyBorder="1"/>
    <xf numFmtId="0" fontId="2" fillId="4" borderId="2" xfId="0" applyFont="1" applyFill="1" applyBorder="1"/>
    <xf numFmtId="0" fontId="27" fillId="4" borderId="2" xfId="0" applyFont="1" applyFill="1" applyBorder="1"/>
    <xf numFmtId="0" fontId="27" fillId="0" borderId="2" xfId="0" applyFont="1" applyBorder="1"/>
    <xf numFmtId="0" fontId="30" fillId="0" borderId="2" xfId="0" applyFont="1" applyBorder="1"/>
    <xf numFmtId="0" fontId="29" fillId="0" borderId="2" xfId="0" applyFont="1" applyBorder="1"/>
    <xf numFmtId="0" fontId="9" fillId="4" borderId="2" xfId="0" applyFont="1" applyFill="1" applyBorder="1"/>
    <xf numFmtId="0" fontId="6" fillId="4" borderId="2" xfId="0" applyFont="1" applyFill="1" applyBorder="1"/>
    <xf numFmtId="0" fontId="2" fillId="0" borderId="2" xfId="0" applyFont="1" applyBorder="1" applyAlignment="1">
      <alignment vertical="center"/>
    </xf>
    <xf numFmtId="0" fontId="12" fillId="0" borderId="2" xfId="0" applyFont="1" applyBorder="1"/>
    <xf numFmtId="49" fontId="19" fillId="0" borderId="25" xfId="0" applyNumberFormat="1" applyFont="1" applyBorder="1" applyAlignment="1" applyProtection="1">
      <alignment horizontal="left"/>
      <protection locked="0"/>
    </xf>
    <xf numFmtId="0" fontId="19" fillId="0" borderId="11" xfId="0" applyNumberFormat="1" applyFont="1" applyBorder="1" applyAlignment="1" applyProtection="1">
      <alignment horizontal="left"/>
      <protection locked="0"/>
    </xf>
    <xf numFmtId="49" fontId="19" fillId="0" borderId="11" xfId="1" applyNumberFormat="1" applyFont="1" applyBorder="1" applyAlignment="1" applyProtection="1">
      <alignment horizontal="left"/>
      <protection locked="0"/>
    </xf>
    <xf numFmtId="0" fontId="8" fillId="4" borderId="0" xfId="0" quotePrefix="1" applyFont="1" applyFill="1" applyBorder="1" applyAlignment="1">
      <alignment vertical="top" wrapText="1"/>
    </xf>
    <xf numFmtId="0" fontId="47" fillId="0" borderId="0" xfId="0" applyFont="1" applyAlignment="1">
      <alignment wrapText="1"/>
    </xf>
    <xf numFmtId="0" fontId="0" fillId="0" borderId="0" xfId="0" applyNumberFormat="1" applyFont="1"/>
    <xf numFmtId="0" fontId="48" fillId="0" borderId="0" xfId="0" applyFont="1"/>
    <xf numFmtId="0" fontId="0" fillId="0" borderId="0" xfId="0" applyAlignment="1">
      <alignment horizontal="right"/>
    </xf>
    <xf numFmtId="0" fontId="39" fillId="0" borderId="0" xfId="0" applyFont="1"/>
    <xf numFmtId="0" fontId="49" fillId="0" borderId="0" xfId="0" applyFont="1"/>
    <xf numFmtId="0" fontId="39" fillId="0" borderId="42" xfId="0" applyFont="1" applyBorder="1"/>
    <xf numFmtId="0" fontId="39" fillId="0" borderId="43" xfId="0" applyFont="1" applyBorder="1"/>
    <xf numFmtId="0" fontId="39" fillId="0" borderId="44" xfId="0" applyNumberFormat="1" applyFont="1" applyBorder="1"/>
    <xf numFmtId="0" fontId="49" fillId="0" borderId="35" xfId="0" applyFont="1" applyBorder="1"/>
    <xf numFmtId="0" fontId="0" fillId="0" borderId="35" xfId="0" applyBorder="1" applyAlignment="1">
      <alignment wrapText="1"/>
    </xf>
    <xf numFmtId="0" fontId="47" fillId="0" borderId="0" xfId="0" applyFont="1"/>
    <xf numFmtId="0" fontId="50" fillId="4" borderId="1" xfId="0" applyFont="1" applyFill="1" applyBorder="1"/>
    <xf numFmtId="0" fontId="50" fillId="0" borderId="1" xfId="0" applyFont="1" applyBorder="1"/>
    <xf numFmtId="0" fontId="29" fillId="4" borderId="1" xfId="0" applyFont="1" applyFill="1" applyBorder="1"/>
    <xf numFmtId="0" fontId="50" fillId="0" borderId="2" xfId="0" applyFont="1" applyBorder="1"/>
    <xf numFmtId="0" fontId="50" fillId="4" borderId="7" xfId="0" applyFont="1" applyFill="1" applyBorder="1"/>
    <xf numFmtId="0" fontId="50" fillId="0" borderId="5" xfId="0" applyFont="1" applyBorder="1"/>
    <xf numFmtId="0" fontId="29" fillId="4" borderId="5" xfId="0" applyFont="1" applyFill="1" applyBorder="1"/>
    <xf numFmtId="0" fontId="50" fillId="4" borderId="5" xfId="0" applyFont="1" applyFill="1" applyBorder="1"/>
    <xf numFmtId="0" fontId="50" fillId="0" borderId="4" xfId="0" applyFont="1" applyBorder="1"/>
    <xf numFmtId="0" fontId="50" fillId="4" borderId="1" xfId="0" applyFont="1" applyFill="1" applyBorder="1" applyAlignment="1">
      <alignment vertical="center"/>
    </xf>
    <xf numFmtId="0" fontId="29" fillId="0" borderId="1" xfId="0" applyFont="1" applyBorder="1" applyAlignment="1">
      <alignment vertical="center"/>
    </xf>
    <xf numFmtId="0" fontId="50" fillId="0" borderId="1" xfId="0" applyFont="1" applyBorder="1" applyAlignment="1">
      <alignment vertical="center"/>
    </xf>
    <xf numFmtId="0" fontId="29" fillId="4" borderId="1" xfId="0" applyFont="1" applyFill="1" applyBorder="1" applyAlignment="1">
      <alignment vertical="center"/>
    </xf>
    <xf numFmtId="0" fontId="50" fillId="0" borderId="2" xfId="0" applyFont="1" applyBorder="1" applyAlignment="1">
      <alignment vertical="center"/>
    </xf>
    <xf numFmtId="0" fontId="19" fillId="0" borderId="25" xfId="0" applyNumberFormat="1" applyFont="1" applyBorder="1" applyAlignment="1" applyProtection="1">
      <alignment horizontal="left"/>
      <protection locked="0"/>
    </xf>
    <xf numFmtId="0" fontId="51" fillId="4" borderId="0" xfId="0" applyFont="1" applyFill="1" applyBorder="1"/>
    <xf numFmtId="0" fontId="52" fillId="4" borderId="0" xfId="0" applyFont="1" applyFill="1" applyBorder="1"/>
    <xf numFmtId="0" fontId="52" fillId="0" borderId="1" xfId="0" applyFont="1" applyBorder="1"/>
    <xf numFmtId="0" fontId="52" fillId="0" borderId="5" xfId="0" applyFont="1" applyBorder="1"/>
    <xf numFmtId="0" fontId="52" fillId="0" borderId="1" xfId="0" applyFont="1" applyBorder="1" applyAlignment="1">
      <alignment vertical="center"/>
    </xf>
    <xf numFmtId="0" fontId="19" fillId="2" borderId="31" xfId="0" applyFont="1" applyFill="1" applyBorder="1" applyAlignment="1">
      <alignment vertical="center" wrapText="1" shrinkToFit="1"/>
    </xf>
    <xf numFmtId="0" fontId="19" fillId="0" borderId="25" xfId="0" applyNumberFormat="1" applyFont="1" applyBorder="1" applyAlignment="1" applyProtection="1">
      <alignment horizontal="left" vertical="center"/>
      <protection locked="0"/>
    </xf>
    <xf numFmtId="0" fontId="0" fillId="0" borderId="35" xfId="0" applyNumberFormat="1" applyBorder="1" applyAlignment="1">
      <alignment wrapText="1"/>
    </xf>
    <xf numFmtId="0" fontId="19" fillId="0" borderId="11" xfId="0" applyFont="1" applyBorder="1" applyAlignment="1" applyProtection="1">
      <alignment horizontal="left" vertical="center"/>
      <protection locked="0"/>
    </xf>
    <xf numFmtId="0" fontId="0" fillId="0" borderId="46" xfId="0" applyBorder="1"/>
    <xf numFmtId="0" fontId="0" fillId="0" borderId="47" xfId="0" applyBorder="1"/>
    <xf numFmtId="0" fontId="0" fillId="0" borderId="42" xfId="0" applyBorder="1"/>
    <xf numFmtId="0" fontId="0" fillId="0" borderId="43" xfId="0" applyBorder="1"/>
    <xf numFmtId="0" fontId="0" fillId="0" borderId="44" xfId="0" applyBorder="1"/>
    <xf numFmtId="0" fontId="3" fillId="7" borderId="35" xfId="0" applyFont="1" applyFill="1" applyBorder="1" applyAlignment="1">
      <alignment horizontal="center" vertical="center" wrapText="1"/>
    </xf>
    <xf numFmtId="0" fontId="47" fillId="8" borderId="35" xfId="0" applyFont="1" applyFill="1" applyBorder="1" applyAlignment="1">
      <alignment horizontal="left" vertical="top" wrapText="1"/>
    </xf>
    <xf numFmtId="0" fontId="47" fillId="0" borderId="35" xfId="0" applyFont="1" applyFill="1" applyBorder="1" applyAlignment="1">
      <alignment horizontal="left" vertical="top" wrapText="1"/>
    </xf>
    <xf numFmtId="0" fontId="56" fillId="0" borderId="35" xfId="0" applyFont="1" applyFill="1" applyBorder="1" applyAlignment="1">
      <alignment horizontal="left" vertical="top" wrapText="1"/>
    </xf>
    <xf numFmtId="0" fontId="47" fillId="0" borderId="35" xfId="0" applyFont="1" applyBorder="1" applyAlignment="1">
      <alignment horizontal="left" vertical="top" wrapText="1"/>
    </xf>
    <xf numFmtId="0" fontId="56" fillId="0" borderId="35" xfId="0" applyFont="1" applyBorder="1" applyAlignment="1">
      <alignment horizontal="left" vertical="top" wrapText="1"/>
    </xf>
    <xf numFmtId="0" fontId="56" fillId="4" borderId="35" xfId="0" applyFont="1" applyFill="1" applyBorder="1" applyAlignment="1">
      <alignment horizontal="left" vertical="top" wrapText="1"/>
    </xf>
    <xf numFmtId="0" fontId="6" fillId="4" borderId="0" xfId="0" applyFont="1" applyFill="1" applyBorder="1" applyAlignment="1">
      <alignment vertical="center" wrapText="1"/>
    </xf>
    <xf numFmtId="0" fontId="29" fillId="4" borderId="0" xfId="0" quotePrefix="1" applyFont="1" applyFill="1" applyBorder="1" applyAlignment="1">
      <alignment vertical="center" wrapText="1"/>
    </xf>
    <xf numFmtId="0" fontId="19" fillId="5" borderId="21" xfId="0" applyFont="1" applyFill="1" applyBorder="1" applyAlignment="1">
      <alignment shrinkToFit="1"/>
    </xf>
    <xf numFmtId="0" fontId="19" fillId="2" borderId="31" xfId="0" applyFont="1" applyFill="1" applyBorder="1" applyAlignment="1">
      <alignment shrinkToFit="1"/>
    </xf>
    <xf numFmtId="14" fontId="0" fillId="0" borderId="0" xfId="0" applyNumberFormat="1" applyAlignment="1">
      <alignment horizontal="left"/>
    </xf>
    <xf numFmtId="0" fontId="3" fillId="0" borderId="42" xfId="0" applyFont="1" applyBorder="1"/>
    <xf numFmtId="0" fontId="3" fillId="0" borderId="43" xfId="0" applyFont="1" applyBorder="1"/>
    <xf numFmtId="0" fontId="3" fillId="0" borderId="44" xfId="0" applyFont="1" applyBorder="1"/>
    <xf numFmtId="0" fontId="0" fillId="0" borderId="45" xfId="0" applyBorder="1" applyAlignment="1">
      <alignment wrapText="1"/>
    </xf>
    <xf numFmtId="0" fontId="19" fillId="2" borderId="21" xfId="0" applyFont="1" applyFill="1" applyBorder="1" applyAlignment="1">
      <alignment wrapText="1"/>
    </xf>
    <xf numFmtId="0" fontId="6" fillId="4" borderId="0" xfId="0" applyFont="1" applyFill="1" applyBorder="1" applyAlignment="1">
      <alignment horizontal="left" vertical="top" wrapText="1"/>
    </xf>
    <xf numFmtId="0" fontId="60" fillId="4" borderId="0" xfId="0" applyFont="1" applyFill="1" applyBorder="1" applyAlignment="1">
      <alignment horizontal="right" vertical="top" wrapText="1"/>
    </xf>
    <xf numFmtId="0" fontId="47" fillId="4" borderId="0" xfId="0" applyFont="1" applyFill="1"/>
    <xf numFmtId="0" fontId="33" fillId="4" borderId="0" xfId="0" quotePrefix="1" applyFont="1" applyFill="1" applyBorder="1" applyAlignment="1">
      <alignment vertical="top" wrapText="1"/>
    </xf>
    <xf numFmtId="0" fontId="47" fillId="4" borderId="0" xfId="0" applyFont="1" applyFill="1" applyBorder="1" applyAlignment="1">
      <alignment wrapText="1"/>
    </xf>
    <xf numFmtId="0" fontId="32" fillId="4" borderId="0" xfId="0" applyFont="1" applyFill="1" applyBorder="1" applyAlignment="1">
      <alignment vertical="center" wrapText="1"/>
    </xf>
    <xf numFmtId="0" fontId="0" fillId="4" borderId="0" xfId="0" applyFill="1" applyAlignment="1">
      <alignment wrapText="1"/>
    </xf>
    <xf numFmtId="0" fontId="8" fillId="4" borderId="0" xfId="0" applyFont="1" applyFill="1" applyBorder="1" applyAlignment="1">
      <alignment horizontal="left" vertical="top" wrapText="1"/>
    </xf>
    <xf numFmtId="0" fontId="33" fillId="4" borderId="0" xfId="0" applyFont="1" applyFill="1" applyBorder="1" applyAlignment="1">
      <alignment horizontal="left" vertical="center" wrapText="1"/>
    </xf>
    <xf numFmtId="0" fontId="33" fillId="4" borderId="0" xfId="0" applyFont="1" applyFill="1" applyBorder="1" applyAlignment="1">
      <alignment horizontal="left" vertical="top" wrapText="1"/>
    </xf>
    <xf numFmtId="0" fontId="47" fillId="4" borderId="35" xfId="0" applyFont="1" applyFill="1" applyBorder="1" applyAlignment="1">
      <alignment horizontal="left" vertical="top" wrapText="1"/>
    </xf>
    <xf numFmtId="0" fontId="20" fillId="6" borderId="30" xfId="0" applyFont="1" applyFill="1" applyBorder="1" applyAlignment="1">
      <alignment horizontal="center"/>
    </xf>
    <xf numFmtId="0" fontId="20" fillId="6" borderId="29" xfId="0" applyFont="1" applyFill="1" applyBorder="1" applyAlignment="1">
      <alignment horizontal="center"/>
    </xf>
    <xf numFmtId="0" fontId="20" fillId="6" borderId="32" xfId="0" applyFont="1" applyFill="1" applyBorder="1" applyAlignment="1">
      <alignment horizontal="center"/>
    </xf>
    <xf numFmtId="0" fontId="15" fillId="5" borderId="19" xfId="0" applyFont="1" applyFill="1" applyBorder="1" applyAlignment="1">
      <alignment horizontal="center"/>
    </xf>
    <xf numFmtId="0" fontId="15" fillId="5" borderId="15" xfId="0" applyFont="1" applyFill="1" applyBorder="1" applyAlignment="1">
      <alignment horizontal="center"/>
    </xf>
    <xf numFmtId="0" fontId="15" fillId="5" borderId="18" xfId="0" applyFont="1" applyFill="1" applyBorder="1" applyAlignment="1">
      <alignment horizontal="center"/>
    </xf>
    <xf numFmtId="49" fontId="19" fillId="5" borderId="19" xfId="0" applyNumberFormat="1" applyFont="1" applyFill="1" applyBorder="1" applyAlignment="1">
      <alignment horizontal="center"/>
    </xf>
    <xf numFmtId="49" fontId="19" fillId="5" borderId="15" xfId="0" applyNumberFormat="1" applyFont="1" applyFill="1" applyBorder="1" applyAlignment="1">
      <alignment horizontal="center"/>
    </xf>
    <xf numFmtId="49" fontId="19" fillId="5" borderId="18" xfId="0" applyNumberFormat="1" applyFont="1" applyFill="1" applyBorder="1" applyAlignment="1">
      <alignment horizontal="center"/>
    </xf>
    <xf numFmtId="0" fontId="29" fillId="0" borderId="2" xfId="0" applyFont="1" applyBorder="1" applyAlignment="1">
      <alignment vertical="center" wrapText="1"/>
    </xf>
    <xf numFmtId="0" fontId="0" fillId="0" borderId="36" xfId="0" applyBorder="1" applyAlignment="1">
      <alignment vertical="center" wrapText="1"/>
    </xf>
    <xf numFmtId="0" fontId="30" fillId="0" borderId="2" xfId="0" applyFont="1" applyBorder="1" applyAlignment="1">
      <alignment wrapText="1"/>
    </xf>
    <xf numFmtId="0" fontId="30" fillId="0" borderId="36" xfId="0" applyFont="1" applyBorder="1" applyAlignment="1">
      <alignment wrapText="1"/>
    </xf>
    <xf numFmtId="0" fontId="50" fillId="0" borderId="36" xfId="0" applyFont="1" applyBorder="1" applyAlignment="1">
      <alignment vertical="center" wrapText="1"/>
    </xf>
    <xf numFmtId="0" fontId="30" fillId="0" borderId="2" xfId="0" applyNumberFormat="1" applyFont="1" applyBorder="1" applyAlignment="1">
      <alignment wrapText="1"/>
    </xf>
    <xf numFmtId="0" fontId="0" fillId="0" borderId="36" xfId="0" applyNumberFormat="1" applyBorder="1" applyAlignment="1"/>
    <xf numFmtId="0" fontId="0" fillId="4" borderId="0" xfId="0" applyFill="1" applyBorder="1" applyAlignment="1"/>
    <xf numFmtId="0" fontId="30" fillId="4" borderId="48" xfId="0" applyFont="1" applyFill="1" applyBorder="1" applyAlignment="1">
      <alignment vertical="center" shrinkToFit="1"/>
    </xf>
    <xf numFmtId="0" fontId="0" fillId="0" borderId="48" xfId="0" applyBorder="1" applyAlignment="1"/>
    <xf numFmtId="0" fontId="21" fillId="6" borderId="30" xfId="0" applyFont="1" applyFill="1" applyBorder="1" applyAlignment="1">
      <alignment horizontal="center" vertical="top" wrapText="1"/>
    </xf>
    <xf numFmtId="0" fontId="21" fillId="6" borderId="29" xfId="0" applyFont="1" applyFill="1" applyBorder="1" applyAlignment="1">
      <alignment horizontal="center" vertical="top" wrapText="1"/>
    </xf>
    <xf numFmtId="0" fontId="21" fillId="6" borderId="32" xfId="0" applyFont="1" applyFill="1" applyBorder="1" applyAlignment="1">
      <alignment horizontal="center" vertical="top" wrapText="1"/>
    </xf>
    <xf numFmtId="0" fontId="21" fillId="6" borderId="30" xfId="0" applyFont="1" applyFill="1" applyBorder="1" applyAlignment="1">
      <alignment horizontal="center" vertical="top" wrapText="1" shrinkToFit="1"/>
    </xf>
    <xf numFmtId="0" fontId="21" fillId="6" borderId="29" xfId="0" applyFont="1" applyFill="1" applyBorder="1" applyAlignment="1">
      <alignment horizontal="center" vertical="top" wrapText="1" shrinkToFit="1"/>
    </xf>
    <xf numFmtId="0" fontId="21" fillId="6" borderId="32" xfId="0" applyFont="1" applyFill="1" applyBorder="1" applyAlignment="1">
      <alignment horizontal="center" vertical="top" wrapText="1" shrinkToFit="1"/>
    </xf>
    <xf numFmtId="0" fontId="12" fillId="0" borderId="9" xfId="0" applyFont="1" applyBorder="1" applyAlignment="1">
      <alignment horizontal="left" vertical="center" wrapText="1"/>
    </xf>
    <xf numFmtId="0" fontId="12" fillId="0" borderId="8" xfId="0" applyFont="1" applyBorder="1" applyAlignment="1">
      <alignment horizontal="left" vertical="center" wrapText="1"/>
    </xf>
    <xf numFmtId="0" fontId="12" fillId="0" borderId="38" xfId="0" applyFont="1" applyBorder="1" applyAlignment="1">
      <alignment horizontal="left" vertical="center" wrapText="1"/>
    </xf>
    <xf numFmtId="0" fontId="12" fillId="0" borderId="17" xfId="0" applyFont="1" applyBorder="1" applyAlignment="1">
      <alignment horizontal="left" vertical="center" wrapText="1"/>
    </xf>
    <xf numFmtId="0" fontId="5" fillId="5" borderId="19" xfId="0" applyFont="1" applyFill="1" applyBorder="1" applyAlignment="1">
      <alignment horizontal="center"/>
    </xf>
    <xf numFmtId="0" fontId="5" fillId="5" borderId="15" xfId="0" applyFont="1" applyFill="1" applyBorder="1" applyAlignment="1">
      <alignment horizontal="center"/>
    </xf>
    <xf numFmtId="0" fontId="5" fillId="5" borderId="18" xfId="0" applyFont="1" applyFill="1" applyBorder="1" applyAlignment="1">
      <alignment horizontal="center"/>
    </xf>
    <xf numFmtId="0" fontId="8" fillId="5" borderId="19" xfId="0" applyFont="1" applyFill="1" applyBorder="1" applyAlignment="1">
      <alignment horizontal="center"/>
    </xf>
    <xf numFmtId="0" fontId="8" fillId="5" borderId="15" xfId="0" applyFont="1" applyFill="1" applyBorder="1" applyAlignment="1">
      <alignment horizontal="center"/>
    </xf>
    <xf numFmtId="0" fontId="8" fillId="5" borderId="18" xfId="0" applyFont="1" applyFill="1" applyBorder="1" applyAlignment="1">
      <alignment horizontal="center"/>
    </xf>
    <xf numFmtId="0" fontId="19" fillId="5" borderId="39" xfId="0" applyFont="1" applyFill="1" applyBorder="1" applyAlignment="1">
      <alignment vertical="center"/>
    </xf>
    <xf numFmtId="0" fontId="0" fillId="0" borderId="39" xfId="0" applyBorder="1" applyAlignment="1">
      <alignment vertical="center"/>
    </xf>
    <xf numFmtId="49" fontId="19" fillId="0" borderId="40" xfId="0" applyNumberFormat="1" applyFont="1"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35" fillId="4" borderId="21" xfId="0" applyFont="1" applyFill="1" applyBorder="1" applyAlignment="1">
      <alignment wrapText="1"/>
    </xf>
    <xf numFmtId="0" fontId="35" fillId="0" borderId="21" xfId="0" applyFont="1" applyBorder="1" applyAlignment="1">
      <alignment wrapText="1"/>
    </xf>
    <xf numFmtId="49" fontId="24" fillId="5" borderId="19" xfId="0" applyNumberFormat="1" applyFont="1" applyFill="1" applyBorder="1" applyAlignment="1">
      <alignment horizontal="center"/>
    </xf>
    <xf numFmtId="49" fontId="24" fillId="5" borderId="15" xfId="0" applyNumberFormat="1" applyFont="1" applyFill="1" applyBorder="1" applyAlignment="1">
      <alignment horizontal="center"/>
    </xf>
    <xf numFmtId="49" fontId="24" fillId="5" borderId="18" xfId="0" applyNumberFormat="1" applyFont="1" applyFill="1" applyBorder="1" applyAlignment="1">
      <alignment horizontal="center"/>
    </xf>
    <xf numFmtId="0" fontId="19" fillId="2" borderId="21" xfId="0" applyFont="1" applyFill="1" applyBorder="1" applyAlignment="1">
      <alignment vertical="center"/>
    </xf>
    <xf numFmtId="0" fontId="19" fillId="0" borderId="21" xfId="0" applyFont="1" applyBorder="1" applyAlignment="1">
      <alignment vertical="center"/>
    </xf>
    <xf numFmtId="0" fontId="19" fillId="4" borderId="0" xfId="0" applyFont="1" applyFill="1" applyBorder="1" applyAlignment="1"/>
    <xf numFmtId="0" fontId="21" fillId="4" borderId="0" xfId="0" applyFont="1" applyFill="1" applyBorder="1" applyAlignment="1">
      <alignment vertical="top" wrapText="1"/>
    </xf>
    <xf numFmtId="14" fontId="20" fillId="5" borderId="19" xfId="0" applyNumberFormat="1" applyFont="1" applyFill="1" applyBorder="1" applyAlignment="1">
      <alignment horizontal="center"/>
    </xf>
    <xf numFmtId="14" fontId="20" fillId="5" borderId="15" xfId="0" applyNumberFormat="1" applyFont="1" applyFill="1" applyBorder="1" applyAlignment="1">
      <alignment horizontal="center"/>
    </xf>
    <xf numFmtId="14" fontId="20" fillId="5" borderId="18" xfId="0" applyNumberFormat="1" applyFont="1" applyFill="1" applyBorder="1" applyAlignment="1">
      <alignment horizontal="center"/>
    </xf>
    <xf numFmtId="49" fontId="20" fillId="5" borderId="19" xfId="0" applyNumberFormat="1" applyFont="1" applyFill="1" applyBorder="1" applyAlignment="1">
      <alignment horizontal="center"/>
    </xf>
    <xf numFmtId="49" fontId="20" fillId="5" borderId="15" xfId="0" applyNumberFormat="1" applyFont="1" applyFill="1" applyBorder="1" applyAlignment="1">
      <alignment horizontal="center"/>
    </xf>
    <xf numFmtId="49" fontId="20" fillId="5" borderId="18" xfId="0" applyNumberFormat="1" applyFont="1" applyFill="1" applyBorder="1" applyAlignment="1">
      <alignment horizontal="center"/>
    </xf>
    <xf numFmtId="0" fontId="61" fillId="4" borderId="0" xfId="0" applyFont="1" applyFill="1" applyBorder="1" applyAlignment="1">
      <alignment horizontal="left" vertical="top" wrapText="1"/>
    </xf>
    <xf numFmtId="0" fontId="32" fillId="4" borderId="0" xfId="0" applyFont="1" applyFill="1" applyBorder="1" applyAlignment="1">
      <alignment vertical="center" wrapText="1"/>
    </xf>
    <xf numFmtId="0" fontId="0" fillId="4" borderId="0" xfId="0" applyFill="1" applyAlignment="1">
      <alignment wrapText="1"/>
    </xf>
    <xf numFmtId="0" fontId="8" fillId="4" borderId="0" xfId="0" applyFont="1" applyFill="1" applyBorder="1" applyAlignment="1">
      <alignment horizontal="left" vertical="top" wrapText="1"/>
    </xf>
    <xf numFmtId="0" fontId="33" fillId="4" borderId="0" xfId="0" applyFont="1" applyFill="1" applyBorder="1" applyAlignment="1">
      <alignment horizontal="left" vertical="center" wrapText="1"/>
    </xf>
    <xf numFmtId="0" fontId="41" fillId="4" borderId="0" xfId="0" applyFont="1" applyFill="1" applyBorder="1" applyAlignment="1">
      <alignment horizontal="left" vertical="top" wrapText="1"/>
    </xf>
    <xf numFmtId="0" fontId="33" fillId="4" borderId="0" xfId="0" applyFont="1" applyFill="1" applyBorder="1" applyAlignment="1">
      <alignment horizontal="left" vertical="top" wrapText="1"/>
    </xf>
    <xf numFmtId="0" fontId="53" fillId="4" borderId="49" xfId="0" applyFont="1" applyFill="1" applyBorder="1" applyAlignment="1">
      <alignment horizontal="center" vertical="center" wrapText="1"/>
    </xf>
    <xf numFmtId="0" fontId="53" fillId="4" borderId="50" xfId="0" applyFont="1" applyFill="1" applyBorder="1" applyAlignment="1">
      <alignment horizontal="center" vertical="center" wrapText="1"/>
    </xf>
    <xf numFmtId="0" fontId="53" fillId="4" borderId="45" xfId="0" applyFont="1" applyFill="1" applyBorder="1" applyAlignment="1">
      <alignment horizontal="center" vertical="center" wrapText="1"/>
    </xf>
    <xf numFmtId="0" fontId="53" fillId="4" borderId="51" xfId="0" applyFont="1" applyFill="1" applyBorder="1" applyAlignment="1">
      <alignment horizontal="center" vertical="center" wrapText="1"/>
    </xf>
    <xf numFmtId="0" fontId="53" fillId="4" borderId="52" xfId="0" applyFont="1" applyFill="1" applyBorder="1" applyAlignment="1">
      <alignment horizontal="center" vertical="center" wrapText="1"/>
    </xf>
    <xf numFmtId="0" fontId="53" fillId="4" borderId="47" xfId="0" applyFont="1" applyFill="1" applyBorder="1" applyAlignment="1">
      <alignment horizontal="center" vertical="center" wrapText="1"/>
    </xf>
  </cellXfs>
  <cellStyles count="2">
    <cellStyle name="Hyperlink" xfId="1" builtinId="8"/>
    <cellStyle name="Normal" xfId="0" builtinId="0"/>
  </cellStyles>
  <dxfs count="162">
    <dxf>
      <font>
        <strike val="0"/>
        <color theme="0"/>
      </font>
    </dxf>
    <dxf>
      <font>
        <color theme="0"/>
      </font>
    </dxf>
    <dxf>
      <font>
        <strike val="0"/>
        <color theme="0"/>
      </font>
    </dxf>
    <dxf>
      <font>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color theme="0"/>
      </font>
    </dxf>
    <dxf>
      <font>
        <color theme="0"/>
      </font>
    </dxf>
    <dxf>
      <fill>
        <patternFill>
          <bgColor theme="0"/>
        </patternFill>
      </fill>
      <border>
        <left/>
        <right/>
        <top/>
        <bottom/>
        <vertical/>
        <horizontal/>
      </border>
    </dxf>
    <dxf>
      <fill>
        <patternFill>
          <bgColor theme="0"/>
        </patternFill>
      </fill>
      <border>
        <left/>
        <right/>
        <top/>
        <bottom/>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border>
    </dxf>
    <dxf>
      <fill>
        <patternFill>
          <bgColor theme="0"/>
        </patternFill>
      </fill>
      <border>
        <left/>
        <right/>
        <top/>
        <bottom/>
      </border>
    </dxf>
    <dxf>
      <fill>
        <patternFill>
          <bgColor theme="0"/>
        </patternFill>
      </fill>
      <border>
        <left/>
        <right/>
        <top/>
        <bottom/>
      </border>
    </dxf>
    <dxf>
      <fill>
        <patternFill>
          <bgColor theme="0"/>
        </patternFill>
      </fill>
      <border>
        <left/>
        <right/>
        <top/>
        <bottom/>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
      <fill>
        <patternFill>
          <bgColor theme="0"/>
        </patternFill>
      </fill>
      <border>
        <left/>
        <right/>
        <top/>
        <bottom/>
        <vertical/>
        <horizontal/>
      </border>
    </dxf>
  </dxfs>
  <tableStyles count="0" defaultTableStyle="TableStyleMedium2" defaultPivotStyle="PivotStyleLight16"/>
  <colors>
    <mruColors>
      <color rgb="FF006C31"/>
      <color rgb="FF64AADC"/>
      <color rgb="FF69AFE1"/>
      <color rgb="FF72B8EB"/>
      <color rgb="FFDDDDDD"/>
      <color rgb="FF80828A"/>
      <color rgb="FF808285"/>
      <color rgb="FF808080"/>
      <color rgb="FF08080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6</xdr:row>
      <xdr:rowOff>190500</xdr:rowOff>
    </xdr:from>
    <xdr:to>
      <xdr:col>1</xdr:col>
      <xdr:colOff>2463371</xdr:colOff>
      <xdr:row>7</xdr:row>
      <xdr:rowOff>70467</xdr:rowOff>
    </xdr:to>
    <xdr:pic>
      <xdr:nvPicPr>
        <xdr:cNvPr id="3" name="Picture 2"/>
        <xdr:cNvPicPr>
          <a:picLocks noChangeAspect="1"/>
        </xdr:cNvPicPr>
      </xdr:nvPicPr>
      <xdr:blipFill>
        <a:blip xmlns:r="http://schemas.openxmlformats.org/officeDocument/2006/relationships" r:embed="rId1"/>
        <a:stretch>
          <a:fillRect/>
        </a:stretch>
      </xdr:blipFill>
      <xdr:spPr>
        <a:xfrm>
          <a:off x="695325" y="1762125"/>
          <a:ext cx="2377646" cy="7848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31"/>
  <sheetViews>
    <sheetView showGridLines="0" tabSelected="1" zoomScale="85" zoomScaleNormal="85" zoomScalePageLayoutView="55" workbookViewId="0">
      <pane ySplit="5" topLeftCell="A6" activePane="bottomLeft" state="frozen"/>
      <selection pane="bottomLeft" activeCell="C23" sqref="C23"/>
    </sheetView>
  </sheetViews>
  <sheetFormatPr defaultRowHeight="18.75" x14ac:dyDescent="0.3"/>
  <cols>
    <col min="1" max="1" width="9.140625" style="55"/>
    <col min="2" max="2" width="83.140625" style="23" customWidth="1"/>
    <col min="3" max="3" width="98.28515625" style="23" customWidth="1"/>
    <col min="4" max="4" width="5.7109375" style="23" customWidth="1"/>
    <col min="5" max="5" width="36.7109375" style="190" customWidth="1"/>
    <col min="6" max="6" width="15.140625" style="55" customWidth="1"/>
    <col min="7" max="7" width="9.140625" style="55"/>
    <col min="8" max="8" width="81.85546875" style="34" customWidth="1"/>
    <col min="9" max="9" width="16.42578125" style="34" customWidth="1"/>
    <col min="10" max="10" width="16.42578125" style="167" customWidth="1"/>
    <col min="11" max="11" width="13.85546875" style="133" customWidth="1"/>
    <col min="12" max="12" width="13.85546875" style="244" customWidth="1"/>
    <col min="13" max="13" width="13.85546875" style="133" customWidth="1"/>
  </cols>
  <sheetData>
    <row r="1" spans="1:13" s="42" customFormat="1" ht="12" customHeight="1" x14ac:dyDescent="0.3">
      <c r="A1" s="166"/>
      <c r="E1" s="188"/>
      <c r="F1" s="166"/>
      <c r="G1" s="166"/>
      <c r="H1" s="34"/>
      <c r="I1" s="34"/>
      <c r="J1" s="167"/>
      <c r="K1" s="133"/>
      <c r="L1" s="244"/>
      <c r="M1" s="133"/>
    </row>
    <row r="2" spans="1:13" s="275" customFormat="1" ht="27" customHeight="1" x14ac:dyDescent="0.3">
      <c r="A2" s="274"/>
      <c r="B2" s="284" t="str">
        <f>IF(I223&gt;0,"Please complete all mandatory fields before submitting. These are marked with *","")</f>
        <v>Please complete all mandatory fields before submitting. These are marked with *</v>
      </c>
      <c r="E2" s="276"/>
      <c r="F2" s="274"/>
      <c r="G2" s="274"/>
      <c r="L2" s="277"/>
    </row>
    <row r="3" spans="1:13" s="285" customFormat="1" ht="39" customHeight="1" x14ac:dyDescent="0.25">
      <c r="A3" s="283"/>
      <c r="B3" s="340" t="str">
        <f>Message1!B11</f>
        <v/>
      </c>
      <c r="C3" s="341"/>
      <c r="E3" s="286"/>
      <c r="F3" s="283"/>
      <c r="G3" s="283"/>
      <c r="L3" s="287"/>
    </row>
    <row r="4" spans="1:13" s="279" customFormat="1" ht="43.5" customHeight="1" x14ac:dyDescent="0.3">
      <c r="A4" s="278"/>
      <c r="B4" s="340" t="str">
        <f>Message2!B13</f>
        <v/>
      </c>
      <c r="C4" s="344"/>
      <c r="E4" s="280"/>
      <c r="F4" s="281"/>
      <c r="G4" s="281"/>
      <c r="L4" s="282"/>
      <c r="M4" s="275"/>
    </row>
    <row r="5" spans="1:13" s="178" customFormat="1" ht="5.25" customHeight="1" x14ac:dyDescent="0.3">
      <c r="A5" s="177"/>
      <c r="B5" s="342"/>
      <c r="C5" s="343"/>
      <c r="E5" s="189"/>
      <c r="F5" s="179"/>
      <c r="G5" s="179"/>
      <c r="H5" s="164"/>
      <c r="I5" s="164"/>
      <c r="J5" s="168"/>
      <c r="K5" s="165"/>
      <c r="L5" s="245"/>
      <c r="M5" s="133"/>
    </row>
    <row r="6" spans="1:13" s="178" customFormat="1" ht="21" customHeight="1" x14ac:dyDescent="0.3">
      <c r="A6" s="177"/>
      <c r="B6" s="345"/>
      <c r="C6" s="346"/>
      <c r="E6" s="189"/>
      <c r="F6" s="179"/>
      <c r="G6" s="179"/>
      <c r="H6" s="164"/>
      <c r="I6" s="164"/>
      <c r="J6" s="168"/>
      <c r="K6" s="165"/>
      <c r="L6" s="245"/>
      <c r="M6" s="133"/>
    </row>
    <row r="7" spans="1:13" ht="71.25" customHeight="1" x14ac:dyDescent="0.3">
      <c r="B7" s="347"/>
      <c r="C7" s="347"/>
      <c r="D7" s="49"/>
      <c r="H7" s="164"/>
      <c r="I7" s="164"/>
      <c r="J7" s="168"/>
      <c r="K7" s="165"/>
      <c r="L7" s="245"/>
    </row>
    <row r="8" spans="1:13" x14ac:dyDescent="0.3">
      <c r="B8" s="347"/>
      <c r="C8" s="347"/>
      <c r="D8" s="49"/>
    </row>
    <row r="9" spans="1:13" ht="14.25" customHeight="1" x14ac:dyDescent="0.3">
      <c r="B9" s="347"/>
      <c r="C9" s="347"/>
      <c r="D9" s="49"/>
    </row>
    <row r="10" spans="1:13" x14ac:dyDescent="0.3">
      <c r="B10" s="347"/>
      <c r="C10" s="347"/>
      <c r="D10" s="49"/>
    </row>
    <row r="11" spans="1:13" ht="5.0999999999999996" customHeight="1" x14ac:dyDescent="0.3">
      <c r="B11" s="347"/>
      <c r="C11" s="347"/>
      <c r="D11" s="49"/>
    </row>
    <row r="12" spans="1:13" ht="5.0999999999999996" customHeight="1" x14ac:dyDescent="0.3">
      <c r="B12" s="25"/>
      <c r="C12" s="25"/>
      <c r="D12" s="25"/>
    </row>
    <row r="13" spans="1:13" s="8" customFormat="1" ht="18.75" customHeight="1" x14ac:dyDescent="0.35">
      <c r="A13" s="56"/>
      <c r="B13" s="289" t="s">
        <v>269</v>
      </c>
      <c r="C13" s="26"/>
      <c r="D13" s="26"/>
      <c r="E13" s="191"/>
      <c r="F13" s="56"/>
      <c r="G13" s="56"/>
      <c r="H13" s="35"/>
      <c r="I13" s="35"/>
      <c r="J13" s="169"/>
      <c r="K13" s="134"/>
      <c r="L13" s="246"/>
      <c r="M13" s="134"/>
    </row>
    <row r="14" spans="1:13" ht="3" customHeight="1" x14ac:dyDescent="0.3">
      <c r="B14" s="27"/>
      <c r="C14" s="27"/>
      <c r="D14" s="27"/>
      <c r="H14" s="36"/>
    </row>
    <row r="15" spans="1:13" ht="15.75" customHeight="1" x14ac:dyDescent="0.3">
      <c r="B15" s="378" t="s">
        <v>307</v>
      </c>
      <c r="C15" s="378"/>
      <c r="D15" s="50"/>
      <c r="H15" s="143"/>
      <c r="I15" s="36"/>
      <c r="K15" s="135"/>
      <c r="L15" s="247"/>
      <c r="M15" s="135"/>
    </row>
    <row r="16" spans="1:13" ht="7.5" customHeight="1" x14ac:dyDescent="0.3">
      <c r="B16" s="379"/>
      <c r="C16" s="379"/>
      <c r="D16" s="51"/>
      <c r="H16" s="36"/>
    </row>
    <row r="17" spans="1:13" s="43" customFormat="1" ht="23.25" customHeight="1" x14ac:dyDescent="0.3">
      <c r="A17" s="57"/>
      <c r="B17" s="46" t="s">
        <v>308</v>
      </c>
      <c r="C17" s="47"/>
      <c r="D17" s="51"/>
      <c r="E17" s="190"/>
      <c r="F17" s="57"/>
      <c r="G17" s="57"/>
      <c r="H17" s="36"/>
      <c r="I17" s="34"/>
      <c r="J17" s="167"/>
      <c r="K17" s="133"/>
      <c r="L17" s="244"/>
      <c r="M17" s="133"/>
    </row>
    <row r="18" spans="1:13" s="43" customFormat="1" x14ac:dyDescent="0.3">
      <c r="A18" s="57"/>
      <c r="B18" s="46"/>
      <c r="C18" s="240"/>
      <c r="D18" s="240"/>
      <c r="E18" s="190"/>
      <c r="F18" s="57"/>
      <c r="G18" s="57"/>
      <c r="H18" s="36"/>
      <c r="I18" s="34"/>
      <c r="J18" s="167"/>
      <c r="K18" s="133"/>
      <c r="L18" s="244"/>
      <c r="M18" s="133"/>
    </row>
    <row r="19" spans="1:13" ht="3" customHeight="1" x14ac:dyDescent="0.3">
      <c r="B19" s="29"/>
      <c r="C19" s="29"/>
      <c r="D19" s="32"/>
      <c r="H19" s="36"/>
    </row>
    <row r="20" spans="1:13" s="7" customFormat="1" ht="14.25" customHeight="1" x14ac:dyDescent="0.25">
      <c r="A20" s="58"/>
      <c r="B20" s="290" t="s">
        <v>412</v>
      </c>
      <c r="C20" s="31"/>
      <c r="D20" s="31"/>
      <c r="E20" s="191"/>
      <c r="F20" s="58"/>
      <c r="G20" s="58"/>
      <c r="H20" s="37"/>
      <c r="I20" s="37"/>
      <c r="J20" s="170"/>
      <c r="K20" s="40"/>
      <c r="L20" s="33"/>
      <c r="M20" s="40"/>
    </row>
    <row r="21" spans="1:13" s="7" customFormat="1" ht="3" customHeight="1" x14ac:dyDescent="0.25">
      <c r="A21" s="58"/>
      <c r="B21" s="48"/>
      <c r="C21" s="31"/>
      <c r="D21" s="31"/>
      <c r="E21" s="191"/>
      <c r="F21" s="58"/>
      <c r="G21" s="58"/>
      <c r="H21" s="144"/>
      <c r="I21" s="37"/>
      <c r="J21" s="170"/>
      <c r="K21" s="40"/>
      <c r="L21" s="33"/>
      <c r="M21" s="40"/>
    </row>
    <row r="22" spans="1:13" ht="3.75" customHeight="1" x14ac:dyDescent="0.3">
      <c r="B22" s="81"/>
      <c r="C22" s="74"/>
      <c r="D22" s="334"/>
      <c r="H22" s="145"/>
    </row>
    <row r="23" spans="1:13" ht="19.5" customHeight="1" x14ac:dyDescent="0.3">
      <c r="B23" s="82" t="s">
        <v>241</v>
      </c>
      <c r="C23" s="153"/>
      <c r="D23" s="335"/>
      <c r="H23" s="146" t="str">
        <f>IF(TRIM(C23) = "", B23 &amp; " is mandatory","")</f>
        <v>Which service do you require? *  is mandatory</v>
      </c>
      <c r="I23" s="34">
        <f>LEN(TRIM((H23)))</f>
        <v>44</v>
      </c>
    </row>
    <row r="24" spans="1:13" s="24" customFormat="1" ht="3.75" customHeight="1" x14ac:dyDescent="0.3">
      <c r="A24" s="25"/>
      <c r="B24" s="83"/>
      <c r="C24" s="80"/>
      <c r="D24" s="336"/>
      <c r="E24" s="192"/>
      <c r="F24" s="25"/>
      <c r="G24" s="25"/>
      <c r="H24" s="145"/>
      <c r="I24" s="38"/>
      <c r="J24" s="173"/>
      <c r="K24" s="136"/>
      <c r="L24" s="248"/>
      <c r="M24" s="136"/>
    </row>
    <row r="25" spans="1:13" s="25" customFormat="1" ht="3.75" customHeight="1" x14ac:dyDescent="0.3">
      <c r="B25" s="45"/>
      <c r="C25" s="52"/>
      <c r="D25" s="52"/>
      <c r="E25" s="192"/>
      <c r="H25" s="36"/>
      <c r="I25" s="34">
        <f>LEN(TRIM((H25)))</f>
        <v>0</v>
      </c>
      <c r="J25" s="174"/>
      <c r="K25" s="137"/>
      <c r="L25" s="249"/>
      <c r="M25" s="137"/>
    </row>
    <row r="26" spans="1:13" s="25" customFormat="1" ht="3.75" customHeight="1" x14ac:dyDescent="0.3">
      <c r="B26" s="126"/>
      <c r="C26" s="124"/>
      <c r="D26" s="331"/>
      <c r="E26" s="192"/>
      <c r="H26" s="36"/>
      <c r="I26" s="34"/>
      <c r="J26" s="174"/>
      <c r="K26" s="137"/>
      <c r="L26" s="249"/>
      <c r="M26" s="137"/>
    </row>
    <row r="27" spans="1:13" ht="19.5" customHeight="1" x14ac:dyDescent="0.3">
      <c r="B27" s="313" t="str">
        <f>IF(ServiceType!B3="Quote-Divorce"," ",IF(Death_Sick!G3+Death_Sick!C7&gt;0,Death_Sick!B11,LDOS!B2))</f>
        <v>Member's last day of service (DD/MM/YYYY) *</v>
      </c>
      <c r="C27" s="160"/>
      <c r="D27" s="332"/>
      <c r="E27" s="190" t="str">
        <f>FormatValidation!O16</f>
        <v xml:space="preserve"> </v>
      </c>
      <c r="H27" s="36" t="str">
        <f>LDOS!B8</f>
        <v>Mandatory!</v>
      </c>
      <c r="I27" s="34">
        <f>LEN(TRIM((H27)))</f>
        <v>10</v>
      </c>
      <c r="M27" s="137"/>
    </row>
    <row r="28" spans="1:13" s="12" customFormat="1" ht="3.75" customHeight="1" x14ac:dyDescent="0.3">
      <c r="A28" s="55"/>
      <c r="B28" s="127"/>
      <c r="C28" s="125"/>
      <c r="D28" s="333"/>
      <c r="E28" s="190"/>
      <c r="F28" s="55"/>
      <c r="G28" s="55"/>
      <c r="H28" s="36"/>
      <c r="I28" s="34"/>
      <c r="J28" s="167"/>
      <c r="K28" s="133"/>
      <c r="L28" s="244"/>
      <c r="M28" s="137"/>
    </row>
    <row r="29" spans="1:13" s="24" customFormat="1" ht="3.75" customHeight="1" x14ac:dyDescent="0.3">
      <c r="A29" s="25"/>
      <c r="B29" s="45"/>
      <c r="C29" s="52"/>
      <c r="D29" s="52"/>
      <c r="E29" s="192"/>
      <c r="F29" s="25"/>
      <c r="G29" s="25"/>
      <c r="H29" s="147"/>
      <c r="I29" s="38"/>
      <c r="J29" s="173"/>
      <c r="K29" s="136"/>
      <c r="L29" s="248"/>
      <c r="M29" s="136"/>
    </row>
    <row r="30" spans="1:13" s="24" customFormat="1" ht="3.75" customHeight="1" x14ac:dyDescent="0.3">
      <c r="A30" s="25"/>
      <c r="B30" s="84"/>
      <c r="C30" s="70"/>
      <c r="D30" s="337"/>
      <c r="E30" s="192"/>
      <c r="F30" s="25"/>
      <c r="G30" s="25"/>
      <c r="H30" s="147"/>
      <c r="I30" s="38"/>
      <c r="J30" s="173"/>
      <c r="K30" s="136"/>
      <c r="L30" s="248"/>
      <c r="M30" s="136"/>
    </row>
    <row r="31" spans="1:13" ht="19.5" customHeight="1" x14ac:dyDescent="0.3">
      <c r="B31" s="82" t="s">
        <v>221</v>
      </c>
      <c r="C31" s="154"/>
      <c r="D31" s="338"/>
      <c r="H31" s="36" t="str">
        <f>IF(TRIM(C31) = "", B31 &amp; " is mandatory!","")</f>
        <v>Name of employer / organisation *  is mandatory!</v>
      </c>
      <c r="I31" s="34">
        <f>LEN(TRIM((H31)))</f>
        <v>47</v>
      </c>
    </row>
    <row r="32" spans="1:13" s="12" customFormat="1" ht="3.75" customHeight="1" x14ac:dyDescent="0.3">
      <c r="A32" s="55"/>
      <c r="B32" s="83"/>
      <c r="C32" s="80"/>
      <c r="D32" s="339"/>
      <c r="E32" s="190"/>
      <c r="F32" s="55"/>
      <c r="G32" s="55"/>
      <c r="H32" s="36"/>
      <c r="I32" s="34"/>
      <c r="J32" s="167"/>
      <c r="K32" s="133"/>
      <c r="L32" s="244"/>
      <c r="M32" s="137"/>
    </row>
    <row r="33" spans="1:13" ht="3.75" customHeight="1" x14ac:dyDescent="0.3">
      <c r="B33" s="45"/>
      <c r="C33" s="52"/>
      <c r="D33" s="98"/>
      <c r="H33" s="36"/>
    </row>
    <row r="34" spans="1:13" ht="9" customHeight="1" x14ac:dyDescent="0.3">
      <c r="B34" s="53"/>
      <c r="C34" s="28"/>
      <c r="D34" s="41"/>
      <c r="H34" s="36"/>
      <c r="I34" s="34">
        <f t="shared" ref="I34:I121" si="0">LEN(TRIM((H34)))</f>
        <v>0</v>
      </c>
    </row>
    <row r="35" spans="1:13" ht="2.25" hidden="1" customHeight="1" x14ac:dyDescent="0.3">
      <c r="B35" s="54"/>
      <c r="C35" s="28"/>
      <c r="D35" s="115"/>
      <c r="H35" s="145"/>
      <c r="I35" s="34">
        <f t="shared" si="0"/>
        <v>0</v>
      </c>
    </row>
    <row r="36" spans="1:13" ht="18.75" customHeight="1" x14ac:dyDescent="0.3">
      <c r="B36" s="291" t="s">
        <v>413</v>
      </c>
      <c r="C36" s="59"/>
      <c r="D36" s="45"/>
      <c r="H36" s="37"/>
      <c r="I36" s="34">
        <f t="shared" si="0"/>
        <v>0</v>
      </c>
    </row>
    <row r="37" spans="1:13" ht="3" customHeight="1" x14ac:dyDescent="0.3">
      <c r="B37" s="11"/>
      <c r="C37" s="60"/>
      <c r="D37" s="94"/>
      <c r="H37" s="36"/>
      <c r="I37" s="34">
        <f t="shared" si="0"/>
        <v>0</v>
      </c>
    </row>
    <row r="38" spans="1:13" s="12" customFormat="1" ht="3.75" customHeight="1" x14ac:dyDescent="0.3">
      <c r="A38" s="55"/>
      <c r="B38" s="81"/>
      <c r="C38" s="78">
        <v>0</v>
      </c>
      <c r="D38" s="337"/>
      <c r="E38" s="190"/>
      <c r="F38" s="55"/>
      <c r="G38" s="55"/>
      <c r="H38" s="36"/>
      <c r="I38" s="34"/>
      <c r="J38" s="167"/>
      <c r="K38" s="133"/>
      <c r="L38" s="244"/>
      <c r="M38" s="133"/>
    </row>
    <row r="39" spans="1:13" ht="19.5" customHeight="1" x14ac:dyDescent="0.3">
      <c r="B39" s="87" t="s">
        <v>183</v>
      </c>
      <c r="C39" s="157"/>
      <c r="D39" s="338"/>
      <c r="H39" s="36" t="str">
        <f>IF(TRIM(C39) = "", B39 &amp; " is mandatory!","")</f>
        <v>Title * is mandatory!</v>
      </c>
      <c r="I39" s="34">
        <f t="shared" si="0"/>
        <v>21</v>
      </c>
    </row>
    <row r="40" spans="1:13" s="12" customFormat="1" ht="3.75" customHeight="1" x14ac:dyDescent="0.3">
      <c r="A40" s="55"/>
      <c r="B40" s="93"/>
      <c r="C40" s="79"/>
      <c r="D40" s="339"/>
      <c r="E40" s="190"/>
      <c r="F40" s="55"/>
      <c r="G40" s="55"/>
      <c r="H40" s="36"/>
      <c r="I40" s="34"/>
      <c r="J40" s="167"/>
      <c r="K40" s="133"/>
      <c r="L40" s="244"/>
      <c r="M40" s="133"/>
    </row>
    <row r="41" spans="1:13" ht="3.75" customHeight="1" x14ac:dyDescent="0.3">
      <c r="B41" s="45"/>
      <c r="C41" s="52"/>
      <c r="D41" s="94"/>
      <c r="H41" s="36"/>
      <c r="I41" s="34">
        <f t="shared" si="0"/>
        <v>0</v>
      </c>
    </row>
    <row r="42" spans="1:13" s="12" customFormat="1" ht="3" customHeight="1" x14ac:dyDescent="0.3">
      <c r="A42" s="55"/>
      <c r="B42" s="84"/>
      <c r="C42" s="70"/>
      <c r="D42" s="337"/>
      <c r="E42" s="190"/>
      <c r="F42" s="55"/>
      <c r="G42" s="55"/>
      <c r="H42" s="36"/>
      <c r="I42" s="34"/>
      <c r="J42" s="167"/>
      <c r="K42" s="133"/>
      <c r="L42" s="244"/>
      <c r="M42" s="133"/>
    </row>
    <row r="43" spans="1:13" ht="19.5" customHeight="1" x14ac:dyDescent="0.3">
      <c r="B43" s="87" t="s">
        <v>184</v>
      </c>
      <c r="C43" s="158"/>
      <c r="D43" s="338"/>
      <c r="H43" s="36" t="str">
        <f>IF(TRIM(C43) = "", B43 &amp; " is mandatory!","")</f>
        <v>First name * is mandatory!</v>
      </c>
      <c r="I43" s="34">
        <f t="shared" si="0"/>
        <v>26</v>
      </c>
    </row>
    <row r="44" spans="1:13" s="12" customFormat="1" ht="3.75" customHeight="1" x14ac:dyDescent="0.3">
      <c r="A44" s="55"/>
      <c r="B44" s="93"/>
      <c r="C44" s="79"/>
      <c r="D44" s="339"/>
      <c r="E44" s="190"/>
      <c r="F44" s="55"/>
      <c r="G44" s="55"/>
      <c r="H44" s="36"/>
      <c r="I44" s="34"/>
      <c r="J44" s="167"/>
      <c r="K44" s="133"/>
      <c r="L44" s="244"/>
      <c r="M44" s="133"/>
    </row>
    <row r="45" spans="1:13" ht="3.75" customHeight="1" x14ac:dyDescent="0.3">
      <c r="B45" s="45"/>
      <c r="C45" s="52"/>
      <c r="D45" s="94"/>
      <c r="H45" s="36"/>
      <c r="I45" s="34">
        <f t="shared" si="0"/>
        <v>0</v>
      </c>
    </row>
    <row r="46" spans="1:13" s="12" customFormat="1" ht="3.75" customHeight="1" x14ac:dyDescent="0.3">
      <c r="A46" s="55"/>
      <c r="B46" s="84"/>
      <c r="C46" s="70"/>
      <c r="D46" s="337"/>
      <c r="E46" s="190"/>
      <c r="F46" s="55"/>
      <c r="G46" s="55"/>
      <c r="H46" s="36"/>
      <c r="I46" s="34"/>
      <c r="J46" s="167"/>
      <c r="K46" s="133"/>
      <c r="L46" s="244"/>
      <c r="M46" s="133"/>
    </row>
    <row r="47" spans="1:13" s="12" customFormat="1" ht="19.5" customHeight="1" x14ac:dyDescent="0.3">
      <c r="A47" s="55"/>
      <c r="B47" s="87" t="s">
        <v>185</v>
      </c>
      <c r="C47" s="157"/>
      <c r="D47" s="338"/>
      <c r="E47" s="190"/>
      <c r="F47" s="55"/>
      <c r="G47" s="55"/>
      <c r="H47" s="36" t="str">
        <f>IF(TRIM(C47) = "", B47 &amp; " is mandatory!","")</f>
        <v>Surname * is mandatory!</v>
      </c>
      <c r="I47" s="34">
        <f t="shared" si="0"/>
        <v>23</v>
      </c>
      <c r="J47" s="167"/>
      <c r="K47" s="133"/>
      <c r="L47" s="244"/>
      <c r="M47" s="133"/>
    </row>
    <row r="48" spans="1:13" s="12" customFormat="1" ht="3.75" customHeight="1" x14ac:dyDescent="0.3">
      <c r="A48" s="55"/>
      <c r="B48" s="83"/>
      <c r="C48" s="79"/>
      <c r="D48" s="339"/>
      <c r="E48" s="190"/>
      <c r="F48" s="55"/>
      <c r="G48" s="55"/>
      <c r="H48" s="36"/>
      <c r="I48" s="34"/>
      <c r="J48" s="167"/>
      <c r="K48" s="133"/>
      <c r="L48" s="244"/>
      <c r="M48" s="133"/>
    </row>
    <row r="49" spans="1:13" ht="3.75" customHeight="1" x14ac:dyDescent="0.3">
      <c r="B49" s="45"/>
      <c r="C49" s="52"/>
      <c r="D49" s="52"/>
      <c r="H49" s="145"/>
      <c r="I49" s="34">
        <f>LEN(TRIM((H49)))</f>
        <v>0</v>
      </c>
      <c r="J49" s="174"/>
      <c r="K49" s="137"/>
      <c r="L49" s="249"/>
      <c r="M49" s="137"/>
    </row>
    <row r="50" spans="1:13" s="12" customFormat="1" ht="3.75" customHeight="1" x14ac:dyDescent="0.3">
      <c r="A50" s="55"/>
      <c r="B50" s="84"/>
      <c r="C50" s="70"/>
      <c r="D50" s="380"/>
      <c r="E50" s="190"/>
      <c r="F50" s="55"/>
      <c r="G50" s="55"/>
      <c r="H50" s="36"/>
      <c r="I50" s="34"/>
      <c r="J50" s="174"/>
      <c r="K50" s="137"/>
      <c r="L50" s="249"/>
      <c r="M50" s="137"/>
    </row>
    <row r="51" spans="1:13" s="12" customFormat="1" ht="19.5" customHeight="1" x14ac:dyDescent="0.3">
      <c r="A51" s="25"/>
      <c r="B51" s="87" t="s">
        <v>242</v>
      </c>
      <c r="C51" s="155"/>
      <c r="D51" s="381"/>
      <c r="E51" s="192" t="str">
        <f>FormatValidation!H16</f>
        <v xml:space="preserve"> </v>
      </c>
      <c r="F51" s="25"/>
      <c r="G51" s="25"/>
      <c r="H51" s="36" t="str">
        <f>IF(TRIM(C51) = "", B51 &amp; " is mandatory!","")</f>
        <v>Member's date of birth (DD/MM/YYYY) * is mandatory!</v>
      </c>
      <c r="I51" s="34">
        <f>LEN(TRIM((H51)))</f>
        <v>51</v>
      </c>
      <c r="J51" s="167"/>
      <c r="K51" s="133"/>
      <c r="L51" s="244"/>
      <c r="M51" s="133"/>
    </row>
    <row r="52" spans="1:13" s="12" customFormat="1" ht="3.75" customHeight="1" x14ac:dyDescent="0.3">
      <c r="A52" s="55"/>
      <c r="B52" s="83"/>
      <c r="C52" s="85"/>
      <c r="D52" s="382"/>
      <c r="E52" s="190"/>
      <c r="F52" s="55"/>
      <c r="G52" s="55"/>
      <c r="H52" s="36"/>
      <c r="I52" s="34"/>
      <c r="J52" s="167"/>
      <c r="K52" s="133"/>
      <c r="L52" s="244"/>
      <c r="M52" s="133"/>
    </row>
    <row r="53" spans="1:13" s="12" customFormat="1" ht="3.75" customHeight="1" x14ac:dyDescent="0.3">
      <c r="A53" s="55"/>
      <c r="B53" s="96" t="str">
        <f>FormatValidation!H16</f>
        <v xml:space="preserve"> </v>
      </c>
      <c r="C53" s="52"/>
      <c r="D53" s="94"/>
      <c r="E53" s="190"/>
      <c r="F53" s="55"/>
      <c r="G53" s="55"/>
      <c r="H53" s="36"/>
      <c r="I53" s="34">
        <f t="shared" si="0"/>
        <v>0</v>
      </c>
      <c r="J53" s="167"/>
      <c r="K53" s="133"/>
      <c r="L53" s="244"/>
      <c r="M53" s="133"/>
    </row>
    <row r="54" spans="1:13" s="12" customFormat="1" ht="3" customHeight="1" x14ac:dyDescent="0.3">
      <c r="A54" s="55"/>
      <c r="B54" s="95"/>
      <c r="C54" s="70"/>
      <c r="D54" s="383"/>
      <c r="E54" s="190"/>
      <c r="F54" s="55"/>
      <c r="G54" s="55"/>
      <c r="H54" s="36"/>
      <c r="I54" s="34"/>
      <c r="J54" s="167"/>
      <c r="K54" s="133"/>
      <c r="L54" s="244"/>
      <c r="M54" s="133"/>
    </row>
    <row r="55" spans="1:13" s="12" customFormat="1" ht="19.5" customHeight="1" x14ac:dyDescent="0.3">
      <c r="A55" s="55"/>
      <c r="B55" s="87" t="s">
        <v>186</v>
      </c>
      <c r="C55" s="259"/>
      <c r="D55" s="384"/>
      <c r="E55" s="183" t="str">
        <f>FormatValidation!D16</f>
        <v xml:space="preserve"> </v>
      </c>
      <c r="F55" s="55"/>
      <c r="G55" s="55"/>
      <c r="H55" s="36" t="str">
        <f>IF(TRIM(C55) = "", B55 &amp; " is mandatory!","")</f>
        <v>NI number * is mandatory!</v>
      </c>
      <c r="I55" s="34">
        <f t="shared" si="0"/>
        <v>25</v>
      </c>
      <c r="J55" s="167"/>
      <c r="K55" s="133"/>
      <c r="L55" s="244"/>
      <c r="M55" s="133"/>
    </row>
    <row r="56" spans="1:13" s="12" customFormat="1" ht="3.75" customHeight="1" x14ac:dyDescent="0.3">
      <c r="A56" s="55"/>
      <c r="B56" s="83"/>
      <c r="C56" s="80"/>
      <c r="D56" s="385"/>
      <c r="E56" s="190"/>
      <c r="F56" s="55"/>
      <c r="G56" s="55"/>
      <c r="H56" s="36"/>
      <c r="I56" s="34"/>
      <c r="J56" s="167"/>
      <c r="K56" s="133"/>
      <c r="L56" s="244"/>
      <c r="M56" s="133"/>
    </row>
    <row r="57" spans="1:13" s="65" customFormat="1" ht="3.75" customHeight="1" x14ac:dyDescent="0.2">
      <c r="B57" s="75"/>
      <c r="C57" s="67"/>
      <c r="D57" s="67"/>
      <c r="E57" s="190"/>
      <c r="H57" s="148"/>
      <c r="I57" s="64">
        <f>LEN(TRIM((H57)))</f>
        <v>0</v>
      </c>
      <c r="J57" s="176"/>
      <c r="K57" s="138"/>
      <c r="L57" s="250"/>
      <c r="M57" s="138"/>
    </row>
    <row r="58" spans="1:13" s="65" customFormat="1" ht="3.75" customHeight="1" x14ac:dyDescent="0.2">
      <c r="B58" s="89"/>
      <c r="C58" s="90"/>
      <c r="D58" s="373"/>
      <c r="E58" s="190"/>
      <c r="H58" s="148"/>
      <c r="I58" s="64"/>
      <c r="J58" s="176"/>
      <c r="K58" s="138"/>
      <c r="L58" s="250"/>
      <c r="M58" s="138"/>
    </row>
    <row r="59" spans="1:13" ht="19.5" customHeight="1" x14ac:dyDescent="0.3">
      <c r="B59" s="87" t="str">
        <f>IF(ServiceType!B3="Quote-Early Preserved","Which scheme is the member in? (This service only available for classic/Dual(classic/alpha)) *","Which scheme is the member in? *")</f>
        <v>Which scheme is the member in? *</v>
      </c>
      <c r="C59" s="156"/>
      <c r="D59" s="374"/>
      <c r="H59" s="36" t="str">
        <f>IF(TRIM(C59) = "", B59 &amp; " is mandatory!","")</f>
        <v>Which scheme is the member in? * is mandatory!</v>
      </c>
      <c r="I59" s="34">
        <f>LEN(TRIM((H59)))</f>
        <v>46</v>
      </c>
      <c r="M59" s="137"/>
    </row>
    <row r="60" spans="1:13" s="12" customFormat="1" ht="3.75" customHeight="1" x14ac:dyDescent="0.3">
      <c r="A60" s="55"/>
      <c r="B60" s="83"/>
      <c r="C60" s="88"/>
      <c r="D60" s="375"/>
      <c r="E60" s="190"/>
      <c r="F60" s="55"/>
      <c r="G60" s="55"/>
      <c r="H60" s="36"/>
      <c r="I60" s="34"/>
      <c r="J60" s="167"/>
      <c r="K60" s="133"/>
      <c r="L60" s="244"/>
      <c r="M60" s="133"/>
    </row>
    <row r="61" spans="1:13" s="66" customFormat="1" ht="3.75" customHeight="1" x14ac:dyDescent="0.2">
      <c r="A61" s="65"/>
      <c r="B61" s="75"/>
      <c r="C61" s="67"/>
      <c r="D61" s="67"/>
      <c r="E61" s="190"/>
      <c r="F61" s="65"/>
      <c r="G61" s="65"/>
      <c r="H61" s="148"/>
      <c r="I61" s="64">
        <f>LEN(TRIM((H61)))</f>
        <v>0</v>
      </c>
      <c r="J61" s="176"/>
      <c r="K61" s="138"/>
      <c r="L61" s="250"/>
      <c r="M61" s="138"/>
    </row>
    <row r="62" spans="1:13" s="66" customFormat="1" ht="3.75" customHeight="1" x14ac:dyDescent="0.2">
      <c r="A62" s="65"/>
      <c r="B62" s="89"/>
      <c r="C62" s="90"/>
      <c r="D62" s="373"/>
      <c r="E62" s="190"/>
      <c r="F62" s="65"/>
      <c r="G62" s="65"/>
      <c r="H62" s="148"/>
      <c r="I62" s="64"/>
      <c r="J62" s="176"/>
      <c r="K62" s="138"/>
      <c r="L62" s="250"/>
      <c r="M62" s="138"/>
    </row>
    <row r="63" spans="1:13" s="7" customFormat="1" ht="19.5" customHeight="1" x14ac:dyDescent="0.3">
      <c r="A63" s="58"/>
      <c r="B63" s="87" t="s">
        <v>223</v>
      </c>
      <c r="C63" s="157"/>
      <c r="D63" s="374"/>
      <c r="E63" s="191"/>
      <c r="F63" s="58"/>
      <c r="G63" s="58"/>
      <c r="H63" s="36" t="str">
        <f>IF(TRIM(C63) = "", B63 &amp; " is mandatory!","")</f>
        <v>Is the member male or female? * is mandatory!</v>
      </c>
      <c r="I63" s="34">
        <f>LEN(TRIM((H63)))</f>
        <v>45</v>
      </c>
      <c r="J63" s="170"/>
      <c r="K63" s="40"/>
      <c r="L63" s="33"/>
      <c r="M63" s="40"/>
    </row>
    <row r="64" spans="1:13" s="7" customFormat="1" ht="3.75" customHeight="1" x14ac:dyDescent="0.3">
      <c r="A64" s="58"/>
      <c r="B64" s="83"/>
      <c r="C64" s="79"/>
      <c r="D64" s="375"/>
      <c r="E64" s="191"/>
      <c r="F64" s="58"/>
      <c r="G64" s="58"/>
      <c r="H64" s="36"/>
      <c r="I64" s="34"/>
      <c r="J64" s="170"/>
      <c r="K64" s="40"/>
      <c r="L64" s="33"/>
      <c r="M64" s="40"/>
    </row>
    <row r="65" spans="1:13" s="66" customFormat="1" ht="3.75" customHeight="1" x14ac:dyDescent="0.2">
      <c r="A65" s="65"/>
      <c r="B65" s="97"/>
      <c r="C65" s="67"/>
      <c r="D65" s="71"/>
      <c r="E65" s="190"/>
      <c r="F65" s="65"/>
      <c r="G65" s="65"/>
      <c r="H65" s="149"/>
      <c r="I65" s="64">
        <f t="shared" si="0"/>
        <v>0</v>
      </c>
      <c r="J65" s="175"/>
      <c r="K65" s="139"/>
      <c r="L65" s="251"/>
      <c r="M65" s="139"/>
    </row>
    <row r="66" spans="1:13" s="12" customFormat="1" ht="3.75" customHeight="1" x14ac:dyDescent="0.3">
      <c r="A66" s="55"/>
      <c r="B66" s="84"/>
      <c r="C66" s="70"/>
      <c r="D66" s="337"/>
      <c r="E66" s="190"/>
      <c r="F66" s="55"/>
      <c r="G66" s="55"/>
      <c r="H66" s="36"/>
      <c r="I66" s="34"/>
      <c r="J66" s="167"/>
      <c r="K66" s="133"/>
      <c r="L66" s="244"/>
      <c r="M66" s="133"/>
    </row>
    <row r="67" spans="1:13" ht="15" customHeight="1" x14ac:dyDescent="0.3">
      <c r="B67" s="376" t="str">
        <f>IF(ServiceType!B3="Quote-Death-in-Service"," ","Home address and postcode *")</f>
        <v>Home address and postcode *</v>
      </c>
      <c r="C67" s="154"/>
      <c r="D67" s="338"/>
      <c r="E67" s="371"/>
      <c r="H67" s="36"/>
      <c r="I67" s="34">
        <f t="shared" si="0"/>
        <v>0</v>
      </c>
    </row>
    <row r="68" spans="1:13" s="7" customFormat="1" ht="15" customHeight="1" x14ac:dyDescent="0.3">
      <c r="A68" s="58"/>
      <c r="B68" s="377"/>
      <c r="C68" s="154"/>
      <c r="D68" s="338"/>
      <c r="E68" s="372"/>
      <c r="F68" s="58"/>
      <c r="G68" s="58"/>
      <c r="H68" s="36" t="str">
        <f>IF((LEN(TRIM(C67)) + (LEN(TRIM(C68)))) &lt; LEN(TRIM(LEFT(B67,1))), B67 &amp; " is mandatory!","")</f>
        <v>Home address and postcode * is mandatory!</v>
      </c>
      <c r="I68" s="34">
        <f t="shared" si="0"/>
        <v>41</v>
      </c>
      <c r="J68" s="170"/>
      <c r="K68" s="40"/>
      <c r="L68" s="33"/>
      <c r="M68" s="40"/>
    </row>
    <row r="69" spans="1:13" s="7" customFormat="1" ht="3.75" customHeight="1" x14ac:dyDescent="0.3">
      <c r="A69" s="58"/>
      <c r="B69" s="99"/>
      <c r="C69" s="80"/>
      <c r="D69" s="339"/>
      <c r="E69" s="191"/>
      <c r="F69" s="58"/>
      <c r="G69" s="58"/>
      <c r="H69" s="36"/>
      <c r="I69" s="34"/>
      <c r="J69" s="170"/>
      <c r="K69" s="40"/>
      <c r="L69" s="33"/>
      <c r="M69" s="40"/>
    </row>
    <row r="70" spans="1:13" s="181" customFormat="1" ht="24" customHeight="1" x14ac:dyDescent="0.25">
      <c r="A70" s="162"/>
      <c r="B70" s="348" t="str">
        <f>IF((LEN(TRIM(C67)) + (LEN(TRIM(C68))))&gt;0, "If this address differs from the member’s home address that Civil Service Pensions hold on their system, Civil Service Pensions will use the address input on this form.","")</f>
        <v/>
      </c>
      <c r="C70" s="349"/>
      <c r="D70" s="180"/>
      <c r="E70" s="190"/>
      <c r="F70" s="162"/>
      <c r="G70" s="162"/>
      <c r="H70" s="188"/>
      <c r="I70" s="182">
        <f t="shared" si="0"/>
        <v>0</v>
      </c>
      <c r="J70" s="187"/>
      <c r="K70" s="161"/>
      <c r="L70" s="252"/>
      <c r="M70" s="161"/>
    </row>
    <row r="71" spans="1:13" s="69" customFormat="1" ht="3.75" customHeight="1" x14ac:dyDescent="0.3">
      <c r="A71" s="68"/>
      <c r="B71" s="126"/>
      <c r="C71" s="124"/>
      <c r="D71" s="331"/>
      <c r="E71" s="191"/>
      <c r="F71" s="68"/>
      <c r="G71" s="68"/>
      <c r="H71" s="36"/>
      <c r="I71" s="34"/>
      <c r="J71" s="170"/>
      <c r="K71" s="140"/>
      <c r="L71" s="253"/>
      <c r="M71" s="140"/>
    </row>
    <row r="72" spans="1:13" s="7" customFormat="1" ht="19.5" customHeight="1" x14ac:dyDescent="0.3">
      <c r="A72" s="58"/>
      <c r="B72" s="243" t="str">
        <f>IF(ServiceType!B3="Quote-Death-in-Service"," ","Telephone number")</f>
        <v>Telephone number</v>
      </c>
      <c r="C72" s="258"/>
      <c r="D72" s="332"/>
      <c r="E72" s="191"/>
      <c r="F72" s="58"/>
      <c r="G72" s="58"/>
      <c r="H72" s="36"/>
      <c r="I72" s="34">
        <f t="shared" si="0"/>
        <v>0</v>
      </c>
      <c r="J72" s="170"/>
      <c r="K72" s="40"/>
      <c r="L72" s="33"/>
      <c r="M72" s="40"/>
    </row>
    <row r="73" spans="1:13" s="7" customFormat="1" ht="3.75" customHeight="1" x14ac:dyDescent="0.3">
      <c r="A73" s="58"/>
      <c r="B73" s="127"/>
      <c r="C73" s="125"/>
      <c r="D73" s="333"/>
      <c r="E73" s="191"/>
      <c r="F73" s="58"/>
      <c r="G73" s="58"/>
      <c r="H73" s="36"/>
      <c r="I73" s="34"/>
      <c r="J73" s="170"/>
      <c r="K73" s="40"/>
      <c r="L73" s="33"/>
      <c r="M73" s="40"/>
    </row>
    <row r="74" spans="1:13" s="30" customFormat="1" ht="3.75" customHeight="1" x14ac:dyDescent="0.3">
      <c r="B74" s="45"/>
      <c r="C74" s="52"/>
      <c r="D74" s="52"/>
      <c r="E74" s="193"/>
      <c r="H74" s="145"/>
      <c r="I74" s="150">
        <f t="shared" si="0"/>
        <v>0</v>
      </c>
      <c r="J74" s="171"/>
      <c r="K74" s="141"/>
      <c r="L74" s="254"/>
      <c r="M74" s="141"/>
    </row>
    <row r="75" spans="1:13" s="7" customFormat="1" ht="3.75" customHeight="1" x14ac:dyDescent="0.3">
      <c r="A75" s="58"/>
      <c r="B75" s="126"/>
      <c r="C75" s="124"/>
      <c r="D75" s="331"/>
      <c r="E75" s="191"/>
      <c r="F75" s="58"/>
      <c r="G75" s="58"/>
      <c r="H75" s="36"/>
      <c r="I75" s="34"/>
      <c r="J75" s="170"/>
      <c r="K75" s="40"/>
      <c r="L75" s="33"/>
      <c r="M75" s="40"/>
    </row>
    <row r="76" spans="1:13" ht="19.5" customHeight="1" x14ac:dyDescent="0.3">
      <c r="B76" s="243" t="str">
        <f>IF(ServiceType!B3="Quote-Death-in-Service"," ","Email address ")</f>
        <v xml:space="preserve">Email address </v>
      </c>
      <c r="C76" s="258"/>
      <c r="D76" s="332"/>
      <c r="H76" s="36"/>
      <c r="I76" s="34">
        <f t="shared" si="0"/>
        <v>0</v>
      </c>
    </row>
    <row r="77" spans="1:13" s="12" customFormat="1" ht="3.75" customHeight="1" x14ac:dyDescent="0.3">
      <c r="A77" s="55"/>
      <c r="B77" s="127"/>
      <c r="C77" s="125"/>
      <c r="D77" s="333"/>
      <c r="E77" s="190"/>
      <c r="F77" s="55"/>
      <c r="G77" s="55"/>
      <c r="H77" s="36"/>
      <c r="I77" s="34"/>
      <c r="J77" s="167"/>
      <c r="K77" s="133"/>
      <c r="L77" s="244"/>
      <c r="M77" s="133"/>
    </row>
    <row r="78" spans="1:13" ht="4.5" customHeight="1" x14ac:dyDescent="0.3">
      <c r="B78" s="73"/>
      <c r="C78" s="72"/>
      <c r="D78" s="92"/>
      <c r="H78" s="145"/>
      <c r="I78" s="34">
        <f>LEN(TRIM((H78)))</f>
        <v>0</v>
      </c>
    </row>
    <row r="79" spans="1:13" s="66" customFormat="1" ht="3.75" customHeight="1" x14ac:dyDescent="0.2">
      <c r="A79" s="65"/>
      <c r="B79" s="126"/>
      <c r="C79" s="124"/>
      <c r="D79" s="331"/>
      <c r="E79" s="190"/>
      <c r="F79" s="65"/>
      <c r="G79" s="65"/>
      <c r="H79" s="149"/>
      <c r="I79" s="64"/>
      <c r="J79" s="175"/>
      <c r="K79" s="139"/>
      <c r="L79" s="251"/>
      <c r="M79" s="139"/>
    </row>
    <row r="80" spans="1:13" ht="19.5" customHeight="1" x14ac:dyDescent="0.3">
      <c r="B80" s="123" t="str">
        <f>IF(MarriageMessages!B14="Yes","Marital status *","")</f>
        <v/>
      </c>
      <c r="C80" s="160"/>
      <c r="D80" s="332"/>
      <c r="H80" s="36" t="str">
        <f>IF(LEN(C80) &lt; LEN(TRIM(LEFT(B80,1))), B80 &amp; " is mandatory!","")</f>
        <v/>
      </c>
      <c r="I80" s="34">
        <f>LEN(TRIM((H80)))</f>
        <v>0</v>
      </c>
    </row>
    <row r="81" spans="1:13" s="12" customFormat="1" ht="3.75" customHeight="1" x14ac:dyDescent="0.3">
      <c r="A81" s="55"/>
      <c r="B81" s="127"/>
      <c r="C81" s="125"/>
      <c r="D81" s="333"/>
      <c r="E81" s="190"/>
      <c r="F81" s="55"/>
      <c r="G81" s="55"/>
      <c r="H81" s="36"/>
      <c r="I81" s="34"/>
      <c r="J81" s="167"/>
      <c r="K81" s="133"/>
      <c r="L81" s="244"/>
      <c r="M81" s="133"/>
    </row>
    <row r="82" spans="1:13" ht="3.75" customHeight="1" x14ac:dyDescent="0.3">
      <c r="B82" s="45"/>
      <c r="C82" s="52"/>
      <c r="D82" s="94"/>
      <c r="H82" s="36"/>
      <c r="I82" s="34">
        <f>LEN(TRIM((H82)))</f>
        <v>0</v>
      </c>
    </row>
    <row r="83" spans="1:13" s="12" customFormat="1" ht="3.75" customHeight="1" x14ac:dyDescent="0.3">
      <c r="A83" s="55"/>
      <c r="B83" s="126"/>
      <c r="C83" s="124"/>
      <c r="D83" s="331"/>
      <c r="E83" s="190"/>
      <c r="F83" s="55"/>
      <c r="G83" s="55"/>
      <c r="H83" s="36"/>
      <c r="I83" s="34"/>
      <c r="J83" s="167"/>
      <c r="K83" s="133"/>
      <c r="L83" s="244"/>
      <c r="M83" s="133"/>
    </row>
    <row r="84" spans="1:13" ht="19.5" customHeight="1" x14ac:dyDescent="0.3">
      <c r="B84" s="123" t="str">
        <f>IF(MarriageMessages!B15 = "Yes","Marriage end date (DD/MM/YYYY)","")</f>
        <v/>
      </c>
      <c r="C84" s="160"/>
      <c r="D84" s="332"/>
      <c r="E84" s="190" t="str">
        <f>FormatValidation!S16</f>
        <v xml:space="preserve"> </v>
      </c>
      <c r="H84" s="36"/>
    </row>
    <row r="85" spans="1:13" s="12" customFormat="1" ht="3.75" customHeight="1" x14ac:dyDescent="0.3">
      <c r="A85" s="55"/>
      <c r="B85" s="127"/>
      <c r="C85" s="125"/>
      <c r="D85" s="333"/>
      <c r="E85" s="190"/>
      <c r="F85" s="55"/>
      <c r="G85" s="55"/>
      <c r="H85" s="36"/>
      <c r="I85" s="34"/>
      <c r="J85" s="167"/>
      <c r="K85" s="133"/>
      <c r="L85" s="244"/>
      <c r="M85" s="133"/>
    </row>
    <row r="86" spans="1:13" s="12" customFormat="1" ht="4.5" customHeight="1" x14ac:dyDescent="0.3">
      <c r="A86" s="55"/>
      <c r="B86" s="53"/>
      <c r="C86" s="28"/>
      <c r="D86" s="41"/>
      <c r="E86" s="190"/>
      <c r="F86" s="55"/>
      <c r="G86" s="55"/>
      <c r="H86" s="36"/>
      <c r="I86" s="34">
        <f t="shared" ref="I86:I88" si="1">LEN(TRIM((H86)))</f>
        <v>0</v>
      </c>
      <c r="J86" s="167"/>
      <c r="K86" s="133"/>
      <c r="L86" s="244"/>
      <c r="M86" s="133"/>
    </row>
    <row r="87" spans="1:13" s="12" customFormat="1" ht="19.5" customHeight="1" x14ac:dyDescent="0.3">
      <c r="A87" s="55"/>
      <c r="B87" s="184"/>
      <c r="C87" s="28"/>
      <c r="D87" s="115"/>
      <c r="E87" s="190"/>
      <c r="F87" s="55"/>
      <c r="G87" s="55"/>
      <c r="H87" s="145"/>
      <c r="I87" s="34">
        <f t="shared" si="1"/>
        <v>0</v>
      </c>
      <c r="J87" s="167"/>
      <c r="K87" s="133"/>
      <c r="L87" s="244"/>
      <c r="M87" s="133"/>
    </row>
    <row r="88" spans="1:13" s="12" customFormat="1" ht="19.5" customHeight="1" x14ac:dyDescent="0.3">
      <c r="A88" s="55"/>
      <c r="B88" s="291" t="s">
        <v>414</v>
      </c>
      <c r="C88" s="59"/>
      <c r="D88" s="45"/>
      <c r="E88" s="190"/>
      <c r="F88" s="55"/>
      <c r="G88" s="55"/>
      <c r="H88" s="37"/>
      <c r="I88" s="34">
        <f t="shared" si="1"/>
        <v>0</v>
      </c>
      <c r="J88" s="167"/>
      <c r="K88" s="133"/>
      <c r="L88" s="244"/>
      <c r="M88" s="133"/>
    </row>
    <row r="89" spans="1:13" ht="3" customHeight="1" x14ac:dyDescent="0.3">
      <c r="B89" s="45"/>
      <c r="C89" s="52"/>
      <c r="D89" s="52"/>
      <c r="H89" s="36"/>
      <c r="I89" s="34">
        <f t="shared" si="0"/>
        <v>0</v>
      </c>
    </row>
    <row r="90" spans="1:13" s="12" customFormat="1" ht="3.75" customHeight="1" x14ac:dyDescent="0.3">
      <c r="A90" s="55"/>
      <c r="B90" s="84"/>
      <c r="C90" s="70"/>
      <c r="D90" s="337"/>
      <c r="E90" s="190"/>
      <c r="F90" s="55"/>
      <c r="G90" s="55"/>
      <c r="H90" s="36"/>
      <c r="I90" s="34"/>
      <c r="J90" s="167"/>
      <c r="K90" s="133"/>
      <c r="L90" s="244"/>
      <c r="M90" s="133"/>
    </row>
    <row r="91" spans="1:13" ht="19.5" customHeight="1" x14ac:dyDescent="0.3">
      <c r="B91" s="100" t="s">
        <v>314</v>
      </c>
      <c r="C91" s="156"/>
      <c r="D91" s="338"/>
      <c r="H91" s="36" t="str">
        <f>IF(TRIM(C91) = "", B91 &amp; " is mandatory!","")</f>
        <v>Is the member paying added pension contributions? * is mandatory!</v>
      </c>
      <c r="I91" s="34">
        <f t="shared" si="0"/>
        <v>65</v>
      </c>
    </row>
    <row r="92" spans="1:13" s="12" customFormat="1" ht="3.75" customHeight="1" x14ac:dyDescent="0.3">
      <c r="A92" s="55"/>
      <c r="B92" s="101"/>
      <c r="C92" s="88"/>
      <c r="D92" s="339"/>
      <c r="E92" s="190"/>
      <c r="F92" s="55"/>
      <c r="G92" s="55"/>
      <c r="H92" s="36"/>
      <c r="I92" s="34"/>
      <c r="J92" s="167"/>
      <c r="K92" s="133"/>
      <c r="L92" s="244"/>
      <c r="M92" s="133"/>
    </row>
    <row r="93" spans="1:13" ht="3.75" customHeight="1" x14ac:dyDescent="0.3">
      <c r="B93" s="45"/>
      <c r="C93" s="52"/>
      <c r="D93" s="52"/>
      <c r="H93" s="145"/>
      <c r="I93" s="150">
        <f t="shared" si="0"/>
        <v>0</v>
      </c>
      <c r="J93" s="174"/>
    </row>
    <row r="94" spans="1:13" s="12" customFormat="1" ht="3.75" customHeight="1" x14ac:dyDescent="0.3">
      <c r="A94" s="55"/>
      <c r="B94" s="84"/>
      <c r="C94" s="70"/>
      <c r="D94" s="337"/>
      <c r="E94" s="190"/>
      <c r="F94" s="55"/>
      <c r="G94" s="55"/>
      <c r="H94" s="145"/>
      <c r="I94" s="150"/>
      <c r="J94" s="174"/>
      <c r="K94" s="133"/>
      <c r="L94" s="244"/>
      <c r="M94" s="133"/>
    </row>
    <row r="95" spans="1:13" s="7" customFormat="1" ht="19.5" customHeight="1" x14ac:dyDescent="0.3">
      <c r="A95" s="58"/>
      <c r="B95" s="100" t="s">
        <v>313</v>
      </c>
      <c r="C95" s="156"/>
      <c r="D95" s="338"/>
      <c r="E95" s="191"/>
      <c r="F95" s="58"/>
      <c r="G95" s="58"/>
      <c r="H95" s="145" t="str">
        <f>IF(TRIM(C95) = "", B95 &amp; " is mandatory!","")</f>
        <v>Is the member paying added years contributions? * is mandatory!</v>
      </c>
      <c r="I95" s="150">
        <f t="shared" si="0"/>
        <v>63</v>
      </c>
      <c r="J95" s="171"/>
      <c r="K95" s="40"/>
      <c r="L95" s="33"/>
      <c r="M95" s="40"/>
    </row>
    <row r="96" spans="1:13" s="7" customFormat="1" ht="3.75" customHeight="1" x14ac:dyDescent="0.3">
      <c r="A96" s="58"/>
      <c r="B96" s="101"/>
      <c r="C96" s="88"/>
      <c r="D96" s="339"/>
      <c r="E96" s="191"/>
      <c r="F96" s="58"/>
      <c r="G96" s="58"/>
      <c r="H96" s="145"/>
      <c r="I96" s="150"/>
      <c r="J96" s="171"/>
      <c r="K96" s="40"/>
      <c r="L96" s="33"/>
      <c r="M96" s="40"/>
    </row>
    <row r="97" spans="1:13" ht="3.75" customHeight="1" x14ac:dyDescent="0.3">
      <c r="B97" s="45"/>
      <c r="C97" s="52"/>
      <c r="D97" s="52"/>
      <c r="H97" s="145"/>
      <c r="I97" s="150">
        <f t="shared" si="0"/>
        <v>0</v>
      </c>
      <c r="J97" s="174"/>
    </row>
    <row r="98" spans="1:13" s="12" customFormat="1" ht="3.75" customHeight="1" x14ac:dyDescent="0.3">
      <c r="A98" s="55"/>
      <c r="B98" s="84"/>
      <c r="C98" s="70"/>
      <c r="D98" s="337"/>
      <c r="E98" s="190"/>
      <c r="F98" s="55"/>
      <c r="G98" s="55"/>
      <c r="H98" s="145"/>
      <c r="I98" s="150"/>
      <c r="J98" s="174"/>
      <c r="K98" s="133"/>
      <c r="L98" s="244"/>
      <c r="M98" s="133"/>
    </row>
    <row r="99" spans="1:13" ht="19.5" customHeight="1" x14ac:dyDescent="0.3">
      <c r="B99" s="319" t="s">
        <v>312</v>
      </c>
      <c r="C99" s="297"/>
      <c r="D99" s="338"/>
      <c r="H99" s="145" t="str">
        <f>IF(TRIM(C99) = "", B99 &amp; " is mandatory!","")</f>
        <v>Has the member transferred funds from another scheme into their pension? * is mandatory!</v>
      </c>
      <c r="I99" s="150">
        <f t="shared" si="0"/>
        <v>88</v>
      </c>
      <c r="J99" s="174"/>
    </row>
    <row r="100" spans="1:13" s="12" customFormat="1" ht="3.75" customHeight="1" x14ac:dyDescent="0.3">
      <c r="A100" s="55"/>
      <c r="B100" s="102"/>
      <c r="C100" s="103"/>
      <c r="D100" s="339"/>
      <c r="E100" s="190"/>
      <c r="F100" s="55"/>
      <c r="G100" s="55"/>
      <c r="H100" s="36"/>
      <c r="I100" s="34"/>
      <c r="J100" s="167"/>
      <c r="K100" s="133"/>
      <c r="L100" s="244"/>
      <c r="M100" s="133"/>
    </row>
    <row r="101" spans="1:13" ht="3.75" customHeight="1" x14ac:dyDescent="0.3">
      <c r="B101" s="45"/>
      <c r="C101" s="52"/>
      <c r="D101" s="94"/>
      <c r="H101" s="36"/>
      <c r="I101" s="34">
        <f t="shared" si="0"/>
        <v>0</v>
      </c>
    </row>
    <row r="102" spans="1:13" s="12" customFormat="1" ht="3.75" customHeight="1" x14ac:dyDescent="0.3">
      <c r="A102" s="55"/>
      <c r="B102" s="84"/>
      <c r="C102" s="70"/>
      <c r="D102" s="337"/>
      <c r="E102" s="190"/>
      <c r="F102" s="55"/>
      <c r="G102" s="55"/>
      <c r="H102" s="36"/>
      <c r="I102" s="34"/>
      <c r="J102" s="167"/>
      <c r="K102" s="133"/>
      <c r="L102" s="244"/>
      <c r="M102" s="133"/>
    </row>
    <row r="103" spans="1:13" ht="19.5" customHeight="1" x14ac:dyDescent="0.3">
      <c r="B103" s="117" t="s">
        <v>311</v>
      </c>
      <c r="C103" s="156"/>
      <c r="D103" s="338"/>
      <c r="H103" s="36" t="str">
        <f>IF(TRIM(C103) = "", B103 &amp; " is mandatory!","")</f>
        <v>Has the member ever worked part time hours or on a part time basis? * is mandatory!</v>
      </c>
    </row>
    <row r="104" spans="1:13" s="12" customFormat="1" ht="3.75" customHeight="1" x14ac:dyDescent="0.3">
      <c r="A104" s="55"/>
      <c r="B104" s="91"/>
      <c r="C104" s="88"/>
      <c r="D104" s="339"/>
      <c r="E104" s="190"/>
      <c r="F104" s="55"/>
      <c r="G104" s="55"/>
      <c r="H104" s="36"/>
      <c r="I104" s="34"/>
      <c r="J104" s="167"/>
      <c r="K104" s="133"/>
      <c r="L104" s="244"/>
      <c r="M104" s="133"/>
    </row>
    <row r="105" spans="1:13" ht="3.75" customHeight="1" x14ac:dyDescent="0.3">
      <c r="B105" s="45"/>
      <c r="C105" s="52"/>
      <c r="D105" s="104"/>
      <c r="H105" s="36"/>
    </row>
    <row r="106" spans="1:13" s="12" customFormat="1" ht="3.75" customHeight="1" x14ac:dyDescent="0.3">
      <c r="A106" s="55"/>
      <c r="B106" s="84"/>
      <c r="C106" s="70"/>
      <c r="D106" s="363"/>
      <c r="E106" s="190"/>
      <c r="F106" s="55"/>
      <c r="G106" s="55"/>
      <c r="H106" s="36"/>
      <c r="I106" s="34"/>
      <c r="J106" s="167"/>
      <c r="K106" s="133"/>
      <c r="L106" s="244"/>
      <c r="M106" s="133"/>
    </row>
    <row r="107" spans="1:13" ht="19.5" customHeight="1" x14ac:dyDescent="0.3">
      <c r="B107" s="312" t="s">
        <v>270</v>
      </c>
      <c r="C107" s="159"/>
      <c r="D107" s="364"/>
      <c r="H107" s="36" t="str">
        <f>IF(TRIM(C107) = "", B107 &amp; " is mandatory!","")</f>
        <v>Does the member have a previous Principal Civil Service Pension Scheme (PCSPS) award? * is mandatory!</v>
      </c>
      <c r="I107" s="34">
        <f t="shared" si="0"/>
        <v>101</v>
      </c>
    </row>
    <row r="108" spans="1:13" s="12" customFormat="1" ht="3.75" customHeight="1" x14ac:dyDescent="0.3">
      <c r="A108" s="55"/>
      <c r="B108" s="83"/>
      <c r="C108" s="88"/>
      <c r="D108" s="365"/>
      <c r="E108" s="190"/>
      <c r="F108" s="55"/>
      <c r="G108" s="55"/>
      <c r="H108" s="36"/>
      <c r="I108" s="34"/>
      <c r="J108" s="167"/>
      <c r="K108" s="133"/>
      <c r="L108" s="244"/>
      <c r="M108" s="133"/>
    </row>
    <row r="109" spans="1:13" s="66" customFormat="1" ht="3.75" customHeight="1" x14ac:dyDescent="0.2">
      <c r="A109" s="65"/>
      <c r="B109" s="97"/>
      <c r="C109" s="67"/>
      <c r="D109" s="71"/>
      <c r="E109" s="190"/>
      <c r="F109" s="65"/>
      <c r="G109" s="65"/>
      <c r="H109" s="149"/>
      <c r="I109" s="64">
        <f t="shared" ref="I109" si="2">LEN(TRIM((H109)))</f>
        <v>0</v>
      </c>
      <c r="J109" s="175"/>
      <c r="K109" s="139"/>
      <c r="L109" s="251"/>
      <c r="M109" s="139"/>
    </row>
    <row r="110" spans="1:13" s="12" customFormat="1" ht="3.75" customHeight="1" x14ac:dyDescent="0.3">
      <c r="A110" s="55"/>
      <c r="B110" s="84"/>
      <c r="C110" s="70"/>
      <c r="D110" s="337"/>
      <c r="E110" s="190"/>
      <c r="F110" s="55"/>
      <c r="G110" s="55"/>
      <c r="H110" s="36"/>
      <c r="I110" s="34"/>
      <c r="J110" s="167"/>
      <c r="K110" s="133"/>
      <c r="L110" s="244"/>
      <c r="M110" s="133"/>
    </row>
    <row r="111" spans="1:13" s="12" customFormat="1" ht="15" customHeight="1" x14ac:dyDescent="0.3">
      <c r="A111" s="55"/>
      <c r="B111" s="366" t="s">
        <v>351</v>
      </c>
      <c r="C111" s="368"/>
      <c r="D111" s="338"/>
      <c r="E111" s="190"/>
      <c r="F111" s="55"/>
      <c r="G111" s="55"/>
      <c r="H111" s="36"/>
      <c r="I111" s="34">
        <f t="shared" ref="I111:I114" si="3">LEN(TRIM((H111)))</f>
        <v>0</v>
      </c>
      <c r="J111" s="167"/>
      <c r="K111" s="133"/>
      <c r="L111" s="244"/>
      <c r="M111" s="133"/>
    </row>
    <row r="112" spans="1:13" s="12" customFormat="1" ht="15" customHeight="1" x14ac:dyDescent="0.3">
      <c r="A112" s="55"/>
      <c r="B112" s="367"/>
      <c r="C112" s="369"/>
      <c r="D112" s="338"/>
      <c r="E112" s="371"/>
      <c r="F112" s="55"/>
      <c r="G112" s="55"/>
      <c r="H112" s="36"/>
      <c r="I112" s="34">
        <f t="shared" si="3"/>
        <v>0</v>
      </c>
      <c r="J112" s="167"/>
      <c r="K112" s="133"/>
      <c r="L112" s="244"/>
      <c r="M112" s="133"/>
    </row>
    <row r="113" spans="1:13" s="12" customFormat="1" ht="15" customHeight="1" x14ac:dyDescent="0.3">
      <c r="A113" s="55"/>
      <c r="B113" s="367"/>
      <c r="C113" s="369"/>
      <c r="D113" s="338"/>
      <c r="E113" s="371"/>
      <c r="F113" s="55"/>
      <c r="G113" s="55"/>
      <c r="H113" s="36"/>
      <c r="I113" s="34">
        <f t="shared" si="3"/>
        <v>0</v>
      </c>
      <c r="J113" s="167"/>
      <c r="K113" s="133"/>
      <c r="L113" s="244"/>
      <c r="M113" s="133"/>
    </row>
    <row r="114" spans="1:13" s="7" customFormat="1" ht="15" customHeight="1" x14ac:dyDescent="0.3">
      <c r="A114" s="58"/>
      <c r="B114" s="367"/>
      <c r="C114" s="370"/>
      <c r="D114" s="338"/>
      <c r="E114" s="372"/>
      <c r="F114" s="58"/>
      <c r="G114" s="58"/>
      <c r="H114" s="36"/>
      <c r="I114" s="34">
        <f t="shared" si="3"/>
        <v>0</v>
      </c>
      <c r="J114" s="170"/>
      <c r="K114" s="40"/>
      <c r="L114" s="33"/>
      <c r="M114" s="40"/>
    </row>
    <row r="115" spans="1:13" s="7" customFormat="1" ht="3.75" customHeight="1" x14ac:dyDescent="0.3">
      <c r="A115" s="58"/>
      <c r="B115" s="99"/>
      <c r="C115" s="80"/>
      <c r="D115" s="339"/>
      <c r="E115" s="191"/>
      <c r="F115" s="58"/>
      <c r="G115" s="58"/>
      <c r="H115" s="36"/>
      <c r="I115" s="34"/>
      <c r="J115" s="170"/>
      <c r="K115" s="40"/>
      <c r="L115" s="33"/>
      <c r="M115" s="40"/>
    </row>
    <row r="116" spans="1:13" ht="3.75" customHeight="1" x14ac:dyDescent="0.3">
      <c r="B116" s="76" t="str">
        <f>FormatValidation!O16</f>
        <v xml:space="preserve"> </v>
      </c>
      <c r="C116" s="52"/>
      <c r="D116" s="28"/>
      <c r="H116" s="36"/>
    </row>
    <row r="117" spans="1:13" s="12" customFormat="1" ht="3.75" customHeight="1" x14ac:dyDescent="0.3">
      <c r="A117" s="55"/>
      <c r="B117" s="126"/>
      <c r="C117" s="124"/>
      <c r="D117" s="331"/>
      <c r="E117" s="190"/>
      <c r="F117" s="55"/>
      <c r="G117" s="55"/>
      <c r="H117" s="36"/>
      <c r="I117" s="34"/>
      <c r="J117" s="167"/>
      <c r="K117" s="133"/>
      <c r="L117" s="244"/>
      <c r="M117" s="133"/>
    </row>
    <row r="118" spans="1:13" ht="19.5" customHeight="1" x14ac:dyDescent="0.3">
      <c r="A118" s="25"/>
      <c r="B118" s="195" t="str">
        <f>Compensation!B8</f>
        <v/>
      </c>
      <c r="C118" s="203"/>
      <c r="D118" s="332"/>
      <c r="E118" s="192"/>
      <c r="F118" s="25"/>
      <c r="G118" s="25"/>
      <c r="H118" s="36" t="str">
        <f>Compensation!B9</f>
        <v/>
      </c>
      <c r="I118" s="34">
        <f>LEN(TRIM((H118)))</f>
        <v>0</v>
      </c>
    </row>
    <row r="119" spans="1:13" s="12" customFormat="1" ht="3.75" customHeight="1" x14ac:dyDescent="0.3">
      <c r="A119" s="55"/>
      <c r="B119" s="185"/>
      <c r="C119" s="125"/>
      <c r="D119" s="333"/>
      <c r="E119" s="190"/>
      <c r="F119" s="55"/>
      <c r="G119" s="55"/>
      <c r="H119" s="36"/>
      <c r="I119" s="34"/>
      <c r="J119" s="167"/>
      <c r="K119" s="133"/>
      <c r="L119" s="244"/>
      <c r="M119" s="133"/>
    </row>
    <row r="120" spans="1:13" ht="15" customHeight="1" x14ac:dyDescent="0.3">
      <c r="B120" s="107"/>
      <c r="C120" s="108"/>
      <c r="D120" s="31"/>
      <c r="H120" s="145"/>
      <c r="I120" s="150">
        <f t="shared" si="0"/>
        <v>0</v>
      </c>
    </row>
    <row r="121" spans="1:13" ht="18.75" customHeight="1" x14ac:dyDescent="0.3">
      <c r="A121" s="25"/>
      <c r="B121" s="290" t="str">
        <f>IF(Additional!B7&gt;0,"Part 4 Additional information","Part 4 Additional information")</f>
        <v>Part 4 Additional information</v>
      </c>
      <c r="C121" s="30"/>
      <c r="D121" s="45"/>
      <c r="H121" s="36"/>
      <c r="I121" s="34">
        <f t="shared" si="0"/>
        <v>0</v>
      </c>
    </row>
    <row r="122" spans="1:13" s="12" customFormat="1" ht="3" customHeight="1" x14ac:dyDescent="0.3">
      <c r="A122" s="25"/>
      <c r="B122" s="48"/>
      <c r="C122" s="30"/>
      <c r="D122" s="45"/>
      <c r="E122" s="190"/>
      <c r="F122" s="55"/>
      <c r="G122" s="55"/>
      <c r="H122" s="36"/>
      <c r="I122" s="34"/>
      <c r="J122" s="167"/>
      <c r="K122" s="133"/>
      <c r="L122" s="244"/>
      <c r="M122" s="133"/>
    </row>
    <row r="123" spans="1:13" ht="18.75" customHeight="1" x14ac:dyDescent="0.3">
      <c r="A123" s="25"/>
      <c r="B123" s="201" t="str">
        <f>IF(OR(ServiceType!B3="Quote-Death-in-Service",ServiceType!B3="Quote-Divorce", ServiceType!B3="Quote-Ill Health Retirement", ServiceType!B3="Quote-Efficiency Dismissal (with compensation)"),"","No additional information required - continue at Part 5")</f>
        <v>No additional information required - continue at Part 5</v>
      </c>
      <c r="C123" s="27"/>
      <c r="D123" s="111"/>
      <c r="H123" s="36"/>
    </row>
    <row r="124" spans="1:13" s="12" customFormat="1" ht="3" customHeight="1" x14ac:dyDescent="0.3">
      <c r="A124" s="55"/>
      <c r="B124" s="119"/>
      <c r="C124" s="27"/>
      <c r="D124" s="52"/>
      <c r="E124" s="190"/>
      <c r="F124" s="55"/>
      <c r="G124" s="55"/>
      <c r="H124" s="36"/>
      <c r="I124" s="34">
        <f t="shared" ref="I124:I126" si="4">LEN(TRIM((H124)))</f>
        <v>0</v>
      </c>
      <c r="J124" s="167"/>
      <c r="K124" s="133"/>
      <c r="L124" s="244"/>
      <c r="M124" s="133"/>
    </row>
    <row r="125" spans="1:13" s="12" customFormat="1" ht="3.75" customHeight="1" x14ac:dyDescent="0.3">
      <c r="A125" s="55"/>
      <c r="B125" s="126"/>
      <c r="C125" s="124"/>
      <c r="D125" s="331"/>
      <c r="E125" s="190"/>
      <c r="F125" s="55"/>
      <c r="G125" s="55"/>
      <c r="H125" s="36"/>
      <c r="I125" s="34"/>
      <c r="J125" s="167"/>
      <c r="K125" s="133"/>
      <c r="L125" s="244"/>
      <c r="M125" s="133"/>
    </row>
    <row r="126" spans="1:13" ht="23.25" customHeight="1" x14ac:dyDescent="0.3">
      <c r="B126" s="294" t="str">
        <f>IF(ServiceType!B3="Quote-Divorce","Is the divorce being heard under English/Welsh or Scottish Court of Law? *",IF(ServiceType!B3="Quote-Death-in-Service","Does the member have a death benefit nomination? *",IF(ServiceType!B3="Quote-Ill Health Retirement","Is this request the result of a successful appeal and the member has previously been dismissed with compensation? *",IF(ServiceType!B3="Quote-Efficiency Dismissal (with compensation)","‘Does the member have an outstanding ill-health appeal ongoing? *"," "))))</f>
        <v xml:space="preserve"> </v>
      </c>
      <c r="C126" s="295"/>
      <c r="D126" s="332"/>
      <c r="H126" s="36" t="str">
        <f>IF(LEN(TRIM(C126)) &lt; LEN(TRIM(LEFT(B126,1))), B126 &amp; " is mandatory!","")</f>
        <v/>
      </c>
      <c r="I126" s="34">
        <f t="shared" si="4"/>
        <v>0</v>
      </c>
    </row>
    <row r="127" spans="1:13" s="12" customFormat="1" ht="3.75" customHeight="1" x14ac:dyDescent="0.3">
      <c r="A127" s="55"/>
      <c r="B127" s="127"/>
      <c r="C127" s="125"/>
      <c r="D127" s="333"/>
      <c r="E127" s="190"/>
      <c r="F127" s="55"/>
      <c r="G127" s="55"/>
      <c r="H127" s="36"/>
      <c r="I127" s="34"/>
      <c r="J127" s="167"/>
      <c r="K127" s="133"/>
      <c r="L127" s="244"/>
      <c r="M127" s="133"/>
    </row>
    <row r="128" spans="1:13" s="25" customFormat="1" ht="3.75" customHeight="1" x14ac:dyDescent="0.3">
      <c r="B128" s="121"/>
      <c r="C128" s="122"/>
      <c r="D128" s="120"/>
      <c r="E128" s="192"/>
      <c r="H128" s="145"/>
      <c r="I128" s="150"/>
      <c r="J128" s="174"/>
      <c r="K128" s="137"/>
      <c r="L128" s="249"/>
      <c r="M128" s="137"/>
    </row>
    <row r="129" spans="1:13" s="25" customFormat="1" ht="3.75" customHeight="1" x14ac:dyDescent="0.3">
      <c r="B129" s="126"/>
      <c r="C129" s="124"/>
      <c r="D129" s="331"/>
      <c r="E129" s="192"/>
      <c r="H129" s="145"/>
      <c r="I129" s="150"/>
      <c r="J129" s="174"/>
      <c r="K129" s="137"/>
      <c r="L129" s="249"/>
      <c r="M129" s="137"/>
    </row>
    <row r="130" spans="1:13" ht="19.5" customHeight="1" x14ac:dyDescent="0.3">
      <c r="B130" s="313" t="str">
        <f>IF(C126= "Scottish", IF(ServiceType!B3="Quote-Divorce","Marriage start date (DD/MM/YYYY) *"," "),IF(C126="Yes", IF(ServiceType!B3="Quote-Death-in-Service","Date that the most recent Death Benefit Nomination form was signed (DD/MM/YYYY) *"," ")," "))</f>
        <v xml:space="preserve"> </v>
      </c>
      <c r="C130" s="160"/>
      <c r="D130" s="332"/>
      <c r="E130" s="190" t="str">
        <f>FormatValidation!AC16</f>
        <v xml:space="preserve"> </v>
      </c>
      <c r="H130" s="36" t="str">
        <f>IF(LEN(TRIM(C130)) &lt; LEN(TRIM(LEFT(B130,1))), B130 &amp; " is mandatory!","")</f>
        <v/>
      </c>
      <c r="I130" s="34">
        <f>LEN(TRIM((H130)))</f>
        <v>0</v>
      </c>
    </row>
    <row r="131" spans="1:13" s="12" customFormat="1" ht="3.75" customHeight="1" x14ac:dyDescent="0.3">
      <c r="A131" s="55"/>
      <c r="B131" s="127"/>
      <c r="C131" s="125"/>
      <c r="D131" s="333"/>
      <c r="E131" s="190"/>
      <c r="F131" s="55"/>
      <c r="G131" s="55"/>
      <c r="H131" s="36"/>
      <c r="I131" s="34"/>
      <c r="J131" s="167"/>
      <c r="K131" s="133"/>
      <c r="L131" s="244"/>
      <c r="M131" s="133"/>
    </row>
    <row r="132" spans="1:13" s="25" customFormat="1" ht="3.75" customHeight="1" x14ac:dyDescent="0.3">
      <c r="B132" s="121"/>
      <c r="C132" s="120"/>
      <c r="D132" s="120"/>
      <c r="E132" s="192"/>
      <c r="H132" s="145"/>
      <c r="I132" s="150"/>
      <c r="J132" s="174"/>
      <c r="K132" s="137"/>
      <c r="L132" s="249"/>
      <c r="M132" s="137"/>
    </row>
    <row r="133" spans="1:13" s="25" customFormat="1" ht="3.75" customHeight="1" x14ac:dyDescent="0.3">
      <c r="B133" s="126"/>
      <c r="C133" s="124"/>
      <c r="D133" s="331"/>
      <c r="E133" s="192"/>
      <c r="H133" s="145"/>
      <c r="I133" s="150"/>
      <c r="J133" s="174"/>
      <c r="K133" s="137"/>
      <c r="L133" s="249"/>
      <c r="M133" s="137"/>
    </row>
    <row r="134" spans="1:13" ht="19.5" customHeight="1" x14ac:dyDescent="0.3">
      <c r="B134" s="123" t="str">
        <f>IF(ServiceType!B3="Quote-Death-in-Service","Do you know details of the member’s next of kin/personal representative? * "," ")</f>
        <v xml:space="preserve"> </v>
      </c>
      <c r="C134" s="160"/>
      <c r="D134" s="332"/>
      <c r="H134" s="36"/>
    </row>
    <row r="135" spans="1:13" s="12" customFormat="1" ht="4.5" customHeight="1" x14ac:dyDescent="0.3">
      <c r="A135" s="55"/>
      <c r="B135" s="127"/>
      <c r="C135" s="125"/>
      <c r="D135" s="333"/>
      <c r="E135" s="190"/>
      <c r="F135" s="55"/>
      <c r="G135" s="55"/>
      <c r="H135" s="36"/>
      <c r="I135" s="34"/>
      <c r="J135" s="167"/>
      <c r="K135" s="133"/>
      <c r="L135" s="244"/>
      <c r="M135" s="133"/>
    </row>
    <row r="136" spans="1:13" s="25" customFormat="1" ht="3.75" customHeight="1" x14ac:dyDescent="0.3">
      <c r="B136" s="121"/>
      <c r="C136" s="122"/>
      <c r="D136" s="120"/>
      <c r="E136" s="192"/>
      <c r="H136" s="145"/>
      <c r="I136" s="150"/>
      <c r="J136" s="174"/>
      <c r="K136" s="137"/>
      <c r="L136" s="249"/>
      <c r="M136" s="137"/>
    </row>
    <row r="137" spans="1:13" s="25" customFormat="1" ht="3.75" customHeight="1" x14ac:dyDescent="0.3">
      <c r="B137" s="126"/>
      <c r="C137" s="124"/>
      <c r="D137" s="331"/>
      <c r="E137" s="192"/>
      <c r="H137" s="145"/>
      <c r="I137" s="150"/>
      <c r="J137" s="174"/>
      <c r="K137" s="137"/>
      <c r="L137" s="249"/>
      <c r="M137" s="137"/>
    </row>
    <row r="138" spans="1:13" s="12" customFormat="1" ht="19.5" customHeight="1" x14ac:dyDescent="0.3">
      <c r="A138" s="55"/>
      <c r="B138" s="123" t="str">
        <f>IF(C126= "Scottish",IF(ServiceType!B3="Quote-Divorce","Date of Separation (DD/MM/YYYY) *",""),"")</f>
        <v/>
      </c>
      <c r="C138" s="160"/>
      <c r="D138" s="332"/>
      <c r="E138" s="190" t="str">
        <f>FormatValidation!AF16</f>
        <v xml:space="preserve"> </v>
      </c>
      <c r="F138" s="55"/>
      <c r="G138" s="55"/>
      <c r="H138" s="36" t="str">
        <f>IF(LEN(TRIM(C138)) &lt; LEN(TRIM(LEFT(B138,1))), B138 &amp; " is mandatory!","")</f>
        <v/>
      </c>
      <c r="I138" s="34">
        <f>LEN(TRIM((H138)))</f>
        <v>0</v>
      </c>
      <c r="J138" s="167"/>
      <c r="K138" s="133"/>
      <c r="L138" s="244"/>
      <c r="M138" s="133"/>
    </row>
    <row r="139" spans="1:13" s="12" customFormat="1" ht="3.75" customHeight="1" x14ac:dyDescent="0.3">
      <c r="A139" s="55"/>
      <c r="B139" s="127"/>
      <c r="C139" s="125"/>
      <c r="D139" s="333"/>
      <c r="E139" s="190"/>
      <c r="F139" s="55"/>
      <c r="G139" s="55"/>
      <c r="H139" s="36"/>
      <c r="I139" s="34"/>
      <c r="J139" s="167"/>
      <c r="K139" s="133"/>
      <c r="L139" s="244"/>
      <c r="M139" s="133"/>
    </row>
    <row r="140" spans="1:13" s="25" customFormat="1" ht="3.75" customHeight="1" x14ac:dyDescent="0.3">
      <c r="B140" s="45"/>
      <c r="C140" s="52"/>
      <c r="D140" s="52"/>
      <c r="E140" s="192"/>
      <c r="H140" s="145"/>
      <c r="I140" s="150"/>
      <c r="J140" s="174"/>
      <c r="K140" s="137"/>
      <c r="L140" s="249"/>
      <c r="M140" s="137"/>
    </row>
    <row r="141" spans="1:13" s="25" customFormat="1" ht="3.75" customHeight="1" x14ac:dyDescent="0.3">
      <c r="B141" s="126"/>
      <c r="C141" s="124"/>
      <c r="D141" s="331"/>
      <c r="E141" s="192"/>
      <c r="H141" s="145"/>
      <c r="I141" s="150"/>
      <c r="J141" s="174"/>
      <c r="K141" s="137"/>
      <c r="L141" s="249"/>
      <c r="M141" s="137"/>
    </row>
    <row r="142" spans="1:13" ht="19.5" customHeight="1" x14ac:dyDescent="0.3">
      <c r="B142" s="123" t="str">
        <f>IF(Additional!B7&gt;1,"First name *"," ")</f>
        <v xml:space="preserve"> </v>
      </c>
      <c r="C142" s="160"/>
      <c r="D142" s="332"/>
      <c r="H142" s="151" t="str">
        <f>IF(LEN(TRIM(C142)) &lt; LEN(TRIM(LEFT(B142,1))), B142 &amp; " is mandatory!","")</f>
        <v/>
      </c>
      <c r="I142" s="34">
        <f t="shared" ref="I142:I186" si="5">LEN(TRIM((H142)))</f>
        <v>0</v>
      </c>
    </row>
    <row r="143" spans="1:13" s="12" customFormat="1" ht="3.75" customHeight="1" x14ac:dyDescent="0.3">
      <c r="A143" s="55"/>
      <c r="B143" s="127"/>
      <c r="C143" s="125"/>
      <c r="D143" s="333"/>
      <c r="E143" s="190"/>
      <c r="F143" s="55"/>
      <c r="G143" s="55"/>
      <c r="H143" s="151"/>
      <c r="I143" s="34"/>
      <c r="J143" s="167"/>
      <c r="K143" s="133"/>
      <c r="L143" s="244"/>
      <c r="M143" s="133"/>
    </row>
    <row r="144" spans="1:13" s="25" customFormat="1" ht="3.75" customHeight="1" x14ac:dyDescent="0.3">
      <c r="B144" s="45"/>
      <c r="C144" s="52"/>
      <c r="D144" s="52"/>
      <c r="E144" s="192"/>
      <c r="H144" s="152"/>
      <c r="I144" s="150">
        <f t="shared" si="5"/>
        <v>0</v>
      </c>
      <c r="J144" s="174"/>
      <c r="K144" s="137"/>
      <c r="L144" s="249"/>
      <c r="M144" s="137"/>
    </row>
    <row r="145" spans="1:13" s="25" customFormat="1" ht="3.75" customHeight="1" x14ac:dyDescent="0.3">
      <c r="B145" s="126"/>
      <c r="C145" s="124"/>
      <c r="D145" s="331"/>
      <c r="E145" s="192"/>
      <c r="H145" s="152"/>
      <c r="I145" s="150"/>
      <c r="J145" s="174"/>
      <c r="K145" s="137"/>
      <c r="L145" s="249"/>
      <c r="M145" s="137"/>
    </row>
    <row r="146" spans="1:13" ht="19.5" customHeight="1" x14ac:dyDescent="0.3">
      <c r="B146" s="123" t="str">
        <f>IF(Additional!B7&gt;1,"Surname *"," ")</f>
        <v xml:space="preserve"> </v>
      </c>
      <c r="C146" s="160"/>
      <c r="D146" s="332"/>
      <c r="H146" s="151" t="str">
        <f>IF(LEN(TRIM(C146)) &lt; LEN(TRIM(LEFT(B146,1))), B146 &amp; " is mandatory!","")</f>
        <v/>
      </c>
      <c r="I146" s="34">
        <f t="shared" si="5"/>
        <v>0</v>
      </c>
    </row>
    <row r="147" spans="1:13" s="12" customFormat="1" ht="3.75" customHeight="1" x14ac:dyDescent="0.3">
      <c r="A147" s="55"/>
      <c r="B147" s="127"/>
      <c r="C147" s="125"/>
      <c r="D147" s="333"/>
      <c r="E147" s="190"/>
      <c r="F147" s="55"/>
      <c r="G147" s="55"/>
      <c r="H147" s="151"/>
      <c r="I147" s="34"/>
      <c r="J147" s="167"/>
      <c r="K147" s="133"/>
      <c r="L147" s="244"/>
      <c r="M147" s="133"/>
    </row>
    <row r="148" spans="1:13" s="25" customFormat="1" ht="3.75" customHeight="1" x14ac:dyDescent="0.3">
      <c r="B148" s="45"/>
      <c r="C148" s="52"/>
      <c r="D148" s="52"/>
      <c r="E148" s="192"/>
      <c r="H148" s="152"/>
      <c r="I148" s="150">
        <f t="shared" si="5"/>
        <v>0</v>
      </c>
      <c r="J148" s="174"/>
      <c r="K148" s="137"/>
      <c r="L148" s="249"/>
      <c r="M148" s="137"/>
    </row>
    <row r="149" spans="1:13" s="25" customFormat="1" ht="3.75" customHeight="1" x14ac:dyDescent="0.3">
      <c r="B149" s="126"/>
      <c r="C149" s="124"/>
      <c r="D149" s="331"/>
      <c r="E149" s="192"/>
      <c r="H149" s="152"/>
      <c r="I149" s="150"/>
      <c r="J149" s="174"/>
      <c r="K149" s="137"/>
      <c r="L149" s="249"/>
      <c r="M149" s="137"/>
    </row>
    <row r="150" spans="1:13" ht="19.5" customHeight="1" x14ac:dyDescent="0.3">
      <c r="B150" s="123" t="str">
        <f>IF(Additional!B7&gt;1,"Relationship to the deceased member *"," ")</f>
        <v xml:space="preserve"> </v>
      </c>
      <c r="C150" s="160"/>
      <c r="D150" s="332"/>
      <c r="H150" s="151" t="str">
        <f>IF(LEN(TRIM(C150)) &lt; LEN(TRIM(LEFT(B150,1))), B150 &amp; "is mandatory!","")</f>
        <v/>
      </c>
      <c r="I150" s="34">
        <f t="shared" si="5"/>
        <v>0</v>
      </c>
    </row>
    <row r="151" spans="1:13" s="12" customFormat="1" ht="3.75" customHeight="1" x14ac:dyDescent="0.3">
      <c r="A151" s="55"/>
      <c r="B151" s="127"/>
      <c r="C151" s="125"/>
      <c r="D151" s="333"/>
      <c r="E151" s="190"/>
      <c r="F151" s="55"/>
      <c r="G151" s="55"/>
      <c r="H151" s="151"/>
      <c r="I151" s="34"/>
      <c r="J151" s="167"/>
      <c r="K151" s="133"/>
      <c r="L151" s="244"/>
      <c r="M151" s="133"/>
    </row>
    <row r="152" spans="1:13" s="25" customFormat="1" ht="3.75" customHeight="1" x14ac:dyDescent="0.3">
      <c r="B152" s="45"/>
      <c r="C152" s="52"/>
      <c r="D152" s="52"/>
      <c r="E152" s="192"/>
      <c r="H152" s="152"/>
      <c r="I152" s="150">
        <f t="shared" si="5"/>
        <v>0</v>
      </c>
      <c r="J152" s="174"/>
      <c r="K152" s="137"/>
      <c r="L152" s="249"/>
      <c r="M152" s="137"/>
    </row>
    <row r="153" spans="1:13" s="25" customFormat="1" ht="3.75" customHeight="1" x14ac:dyDescent="0.3">
      <c r="B153" s="126"/>
      <c r="C153" s="124"/>
      <c r="D153" s="331"/>
      <c r="E153" s="192"/>
      <c r="H153" s="152"/>
      <c r="I153" s="150"/>
      <c r="J153" s="174"/>
      <c r="K153" s="137"/>
      <c r="L153" s="249"/>
      <c r="M153" s="137"/>
    </row>
    <row r="154" spans="1:13" ht="19.5" customHeight="1" x14ac:dyDescent="0.3">
      <c r="B154" s="123" t="str">
        <f>IF(Additional!B7&gt;1,"Home Address *"," ")</f>
        <v xml:space="preserve"> </v>
      </c>
      <c r="C154" s="160"/>
      <c r="D154" s="332"/>
      <c r="H154" s="151" t="str">
        <f>IF(LEN(TRIM(C154)) &lt; LEN(TRIM(LEFT(B154,1))), B154 &amp; "is mandatory!","")</f>
        <v/>
      </c>
      <c r="I154" s="34">
        <f t="shared" si="5"/>
        <v>0</v>
      </c>
    </row>
    <row r="155" spans="1:13" s="12" customFormat="1" ht="3.75" customHeight="1" x14ac:dyDescent="0.3">
      <c r="A155" s="55"/>
      <c r="B155" s="127"/>
      <c r="C155" s="125"/>
      <c r="D155" s="333"/>
      <c r="E155" s="190"/>
      <c r="F155" s="55"/>
      <c r="G155" s="55"/>
      <c r="H155" s="151"/>
      <c r="I155" s="34"/>
      <c r="J155" s="167"/>
      <c r="K155" s="133"/>
      <c r="L155" s="244"/>
      <c r="M155" s="133"/>
    </row>
    <row r="156" spans="1:13" s="25" customFormat="1" ht="3.75" customHeight="1" x14ac:dyDescent="0.3">
      <c r="B156" s="45"/>
      <c r="C156" s="52"/>
      <c r="D156" s="52"/>
      <c r="E156" s="192"/>
      <c r="H156" s="152"/>
      <c r="I156" s="150">
        <f t="shared" si="5"/>
        <v>0</v>
      </c>
      <c r="J156" s="174"/>
      <c r="K156" s="137"/>
      <c r="L156" s="249"/>
      <c r="M156" s="137"/>
    </row>
    <row r="157" spans="1:13" s="25" customFormat="1" ht="3.75" customHeight="1" x14ac:dyDescent="0.3">
      <c r="B157" s="126"/>
      <c r="C157" s="124"/>
      <c r="D157" s="331"/>
      <c r="E157" s="192"/>
      <c r="H157" s="152"/>
      <c r="I157" s="150"/>
      <c r="J157" s="174"/>
      <c r="K157" s="137"/>
      <c r="L157" s="249"/>
      <c r="M157" s="137"/>
    </row>
    <row r="158" spans="1:13" ht="19.5" customHeight="1" x14ac:dyDescent="0.3">
      <c r="B158" s="123" t="str">
        <f>IF(Additional!B7&gt;1,"Postcode *"," ")</f>
        <v xml:space="preserve"> </v>
      </c>
      <c r="C158" s="258"/>
      <c r="D158" s="332"/>
      <c r="H158" s="151" t="str">
        <f>IF(LEN(TRIM(C158)) &lt; LEN(TRIM(LEFT(B158,1))), B158 &amp; "is mandatory!","")</f>
        <v/>
      </c>
      <c r="I158" s="34">
        <f t="shared" si="5"/>
        <v>0</v>
      </c>
    </row>
    <row r="159" spans="1:13" s="12" customFormat="1" ht="3.75" customHeight="1" x14ac:dyDescent="0.3">
      <c r="A159" s="55"/>
      <c r="B159" s="127"/>
      <c r="C159" s="125"/>
      <c r="D159" s="333"/>
      <c r="E159" s="190"/>
      <c r="F159" s="55"/>
      <c r="G159" s="55"/>
      <c r="H159" s="151"/>
      <c r="I159" s="34"/>
      <c r="J159" s="167"/>
      <c r="K159" s="133"/>
      <c r="L159" s="244"/>
      <c r="M159" s="133"/>
    </row>
    <row r="160" spans="1:13" s="25" customFormat="1" ht="3.75" customHeight="1" x14ac:dyDescent="0.3">
      <c r="B160" s="45"/>
      <c r="C160" s="52"/>
      <c r="D160" s="52"/>
      <c r="E160" s="192"/>
      <c r="H160" s="152"/>
      <c r="I160" s="150">
        <f t="shared" si="5"/>
        <v>0</v>
      </c>
      <c r="J160" s="174"/>
      <c r="K160" s="137"/>
      <c r="L160" s="249"/>
      <c r="M160" s="137"/>
    </row>
    <row r="161" spans="1:13" s="25" customFormat="1" ht="3.75" customHeight="1" x14ac:dyDescent="0.3">
      <c r="B161" s="126"/>
      <c r="C161" s="124"/>
      <c r="D161" s="331"/>
      <c r="E161" s="192"/>
      <c r="H161" s="152"/>
      <c r="I161" s="150"/>
      <c r="J161" s="174"/>
      <c r="K161" s="137"/>
      <c r="L161" s="249"/>
      <c r="M161" s="137"/>
    </row>
    <row r="162" spans="1:13" ht="19.5" customHeight="1" x14ac:dyDescent="0.3">
      <c r="B162" s="123" t="str">
        <f>IF(Additional!B7&gt;1,"Telephone number "," ")</f>
        <v xml:space="preserve"> </v>
      </c>
      <c r="C162" s="258"/>
      <c r="D162" s="332"/>
      <c r="H162" s="151"/>
      <c r="I162" s="34">
        <f t="shared" si="5"/>
        <v>0</v>
      </c>
    </row>
    <row r="163" spans="1:13" s="12" customFormat="1" ht="3.75" customHeight="1" x14ac:dyDescent="0.3">
      <c r="A163" s="55"/>
      <c r="B163" s="127"/>
      <c r="C163" s="125"/>
      <c r="D163" s="333"/>
      <c r="E163" s="190"/>
      <c r="F163" s="55"/>
      <c r="G163" s="55"/>
      <c r="H163" s="151"/>
      <c r="I163" s="34"/>
      <c r="J163" s="167"/>
      <c r="K163" s="133"/>
      <c r="L163" s="244"/>
      <c r="M163" s="133"/>
    </row>
    <row r="164" spans="1:13" s="25" customFormat="1" ht="3.75" customHeight="1" x14ac:dyDescent="0.3">
      <c r="B164" s="45"/>
      <c r="C164" s="52"/>
      <c r="D164" s="52"/>
      <c r="E164" s="192"/>
      <c r="H164" s="152"/>
      <c r="I164" s="150">
        <f t="shared" si="5"/>
        <v>0</v>
      </c>
      <c r="J164" s="174"/>
      <c r="K164" s="137"/>
      <c r="L164" s="249"/>
      <c r="M164" s="137"/>
    </row>
    <row r="165" spans="1:13" s="25" customFormat="1" ht="3.75" customHeight="1" x14ac:dyDescent="0.3">
      <c r="B165" s="126"/>
      <c r="C165" s="124"/>
      <c r="D165" s="331"/>
      <c r="E165" s="192"/>
      <c r="H165" s="152"/>
      <c r="I165" s="150"/>
      <c r="J165" s="174"/>
      <c r="K165" s="137"/>
      <c r="L165" s="249"/>
      <c r="M165" s="137"/>
    </row>
    <row r="166" spans="1:13" ht="19.5" customHeight="1" x14ac:dyDescent="0.3">
      <c r="B166" s="123" t="str">
        <f>IF(Additional!B7&gt;1,"Email address "," ")</f>
        <v xml:space="preserve"> </v>
      </c>
      <c r="C166" s="258"/>
      <c r="D166" s="332"/>
      <c r="H166" s="151"/>
      <c r="I166" s="34">
        <f t="shared" si="5"/>
        <v>0</v>
      </c>
    </row>
    <row r="167" spans="1:13" s="12" customFormat="1" ht="3.75" customHeight="1" x14ac:dyDescent="0.3">
      <c r="A167" s="55"/>
      <c r="B167" s="127"/>
      <c r="C167" s="125"/>
      <c r="D167" s="333"/>
      <c r="E167" s="190"/>
      <c r="F167" s="55"/>
      <c r="G167" s="55"/>
      <c r="H167" s="151"/>
      <c r="I167" s="34"/>
      <c r="J167" s="167"/>
      <c r="K167" s="133"/>
      <c r="L167" s="244"/>
      <c r="M167" s="133"/>
    </row>
    <row r="168" spans="1:13" s="25" customFormat="1" ht="3.75" customHeight="1" x14ac:dyDescent="0.3">
      <c r="B168" s="45"/>
      <c r="C168" s="52"/>
      <c r="D168" s="52"/>
      <c r="E168" s="192"/>
      <c r="H168" s="145"/>
      <c r="I168" s="150">
        <f t="shared" si="5"/>
        <v>0</v>
      </c>
      <c r="J168" s="174"/>
      <c r="K168" s="137"/>
      <c r="L168" s="249"/>
      <c r="M168" s="137"/>
    </row>
    <row r="169" spans="1:13" s="25" customFormat="1" ht="3.75" customHeight="1" x14ac:dyDescent="0.3">
      <c r="B169" s="126"/>
      <c r="C169" s="124"/>
      <c r="D169" s="331"/>
      <c r="E169" s="192"/>
      <c r="H169" s="145"/>
      <c r="I169" s="150"/>
      <c r="J169" s="174"/>
      <c r="K169" s="137"/>
      <c r="L169" s="249"/>
      <c r="M169" s="137"/>
    </row>
    <row r="170" spans="1:13" s="12" customFormat="1" ht="19.5" customHeight="1" x14ac:dyDescent="0.3">
      <c r="A170" s="55"/>
      <c r="B170" s="128" t="str">
        <f>IF(Additional2!C7&gt;2,"Line manager details (of the deceased member)"," ")</f>
        <v xml:space="preserve"> </v>
      </c>
      <c r="C170" s="194"/>
      <c r="D170" s="332"/>
      <c r="E170" s="190"/>
      <c r="F170" s="55"/>
      <c r="G170" s="55"/>
      <c r="H170" s="36"/>
      <c r="I170" s="34">
        <f t="shared" si="5"/>
        <v>0</v>
      </c>
      <c r="J170" s="167"/>
      <c r="K170" s="133"/>
      <c r="L170" s="244"/>
      <c r="M170" s="133"/>
    </row>
    <row r="171" spans="1:13" s="12" customFormat="1" ht="3.75" customHeight="1" x14ac:dyDescent="0.3">
      <c r="A171" s="55"/>
      <c r="B171" s="127"/>
      <c r="C171" s="125"/>
      <c r="D171" s="333"/>
      <c r="E171" s="190"/>
      <c r="F171" s="55"/>
      <c r="G171" s="55"/>
      <c r="H171" s="36"/>
      <c r="I171" s="34"/>
      <c r="J171" s="167"/>
      <c r="K171" s="133"/>
      <c r="L171" s="244"/>
      <c r="M171" s="133"/>
    </row>
    <row r="172" spans="1:13" s="77" customFormat="1" ht="3.75" customHeight="1" x14ac:dyDescent="0.3">
      <c r="B172" s="45"/>
      <c r="C172" s="52"/>
      <c r="D172" s="107"/>
      <c r="E172" s="192"/>
      <c r="H172" s="145"/>
      <c r="I172" s="150">
        <f t="shared" si="5"/>
        <v>0</v>
      </c>
      <c r="J172" s="174"/>
      <c r="K172" s="137"/>
      <c r="L172" s="249"/>
      <c r="M172" s="137"/>
    </row>
    <row r="173" spans="1:13" s="77" customFormat="1" ht="3.75" customHeight="1" x14ac:dyDescent="0.3">
      <c r="B173" s="126"/>
      <c r="C173" s="124"/>
      <c r="D173" s="331"/>
      <c r="E173" s="192"/>
      <c r="H173" s="145"/>
      <c r="I173" s="150"/>
      <c r="J173" s="174"/>
      <c r="K173" s="137"/>
      <c r="L173" s="249"/>
      <c r="M173" s="137"/>
    </row>
    <row r="174" spans="1:13" ht="19.5" customHeight="1" x14ac:dyDescent="0.3">
      <c r="B174" s="123" t="str">
        <f>IF(Additional2!C7&gt;2,"First name *"," ")</f>
        <v xml:space="preserve"> </v>
      </c>
      <c r="C174" s="288"/>
      <c r="D174" s="332"/>
      <c r="H174" s="36" t="str">
        <f>IF(LEN(TRIM(C174)) &lt; LEN(TRIM(LEFT(B174,1))), B174 &amp; "is mandatory!","")</f>
        <v/>
      </c>
      <c r="I174" s="34">
        <f t="shared" si="5"/>
        <v>0</v>
      </c>
    </row>
    <row r="175" spans="1:13" s="12" customFormat="1" ht="3.75" customHeight="1" x14ac:dyDescent="0.3">
      <c r="A175" s="55"/>
      <c r="B175" s="127"/>
      <c r="C175" s="125"/>
      <c r="D175" s="333"/>
      <c r="E175" s="190"/>
      <c r="F175" s="55"/>
      <c r="G175" s="55"/>
      <c r="H175" s="36"/>
      <c r="I175" s="34"/>
      <c r="J175" s="167"/>
      <c r="K175" s="133"/>
      <c r="L175" s="244"/>
      <c r="M175" s="133"/>
    </row>
    <row r="176" spans="1:13" s="25" customFormat="1" ht="3.75" customHeight="1" x14ac:dyDescent="0.3">
      <c r="B176" s="45"/>
      <c r="C176" s="52"/>
      <c r="D176" s="27"/>
      <c r="E176" s="192"/>
      <c r="H176" s="145"/>
      <c r="I176" s="150">
        <f t="shared" si="5"/>
        <v>0</v>
      </c>
      <c r="J176" s="174"/>
      <c r="K176" s="137"/>
      <c r="L176" s="249"/>
      <c r="M176" s="137"/>
    </row>
    <row r="177" spans="1:13" s="25" customFormat="1" ht="3.75" customHeight="1" x14ac:dyDescent="0.3">
      <c r="B177" s="126"/>
      <c r="C177" s="124"/>
      <c r="D177" s="331"/>
      <c r="E177" s="192"/>
      <c r="H177" s="145"/>
      <c r="I177" s="150"/>
      <c r="J177" s="174"/>
      <c r="K177" s="137"/>
      <c r="L177" s="249"/>
      <c r="M177" s="137"/>
    </row>
    <row r="178" spans="1:13" ht="19.5" customHeight="1" x14ac:dyDescent="0.3">
      <c r="B178" s="123" t="str">
        <f>IF(Additional2!C7&gt;2,"Surname *"," ")</f>
        <v xml:space="preserve"> </v>
      </c>
      <c r="C178" s="288"/>
      <c r="D178" s="332"/>
      <c r="H178" s="36" t="str">
        <f>IF(LEN(TRIM(C178)) &lt; LEN(TRIM(LEFT(B178,1))), B178 &amp; "is mandatory!","")</f>
        <v/>
      </c>
      <c r="I178" s="34">
        <f t="shared" si="5"/>
        <v>0</v>
      </c>
    </row>
    <row r="179" spans="1:13" s="12" customFormat="1" ht="3.75" customHeight="1" x14ac:dyDescent="0.3">
      <c r="A179" s="55"/>
      <c r="B179" s="127"/>
      <c r="C179" s="125"/>
      <c r="D179" s="333"/>
      <c r="E179" s="190"/>
      <c r="F179" s="55"/>
      <c r="G179" s="55"/>
      <c r="H179" s="36"/>
      <c r="I179" s="34"/>
      <c r="J179" s="167"/>
      <c r="K179" s="133"/>
      <c r="L179" s="244"/>
      <c r="M179" s="133"/>
    </row>
    <row r="180" spans="1:13" s="107" customFormat="1" ht="3.75" customHeight="1" x14ac:dyDescent="0.3">
      <c r="B180" s="45"/>
      <c r="C180" s="52"/>
      <c r="D180" s="30"/>
      <c r="E180" s="192"/>
      <c r="H180" s="145"/>
      <c r="I180" s="150">
        <f t="shared" si="5"/>
        <v>0</v>
      </c>
      <c r="J180" s="172"/>
      <c r="K180" s="142"/>
      <c r="L180" s="255"/>
      <c r="M180" s="142"/>
    </row>
    <row r="181" spans="1:13" s="107" customFormat="1" ht="3.75" customHeight="1" x14ac:dyDescent="0.3">
      <c r="B181" s="126"/>
      <c r="C181" s="124"/>
      <c r="D181" s="331"/>
      <c r="E181" s="192"/>
      <c r="H181" s="145"/>
      <c r="I181" s="150"/>
      <c r="J181" s="172"/>
      <c r="K181" s="142"/>
      <c r="L181" s="255"/>
      <c r="M181" s="142"/>
    </row>
    <row r="182" spans="1:13" ht="19.5" customHeight="1" x14ac:dyDescent="0.3">
      <c r="B182" s="123" t="str">
        <f>IF(Additional2!C7&gt;2,"Telephone number *"," ")</f>
        <v xml:space="preserve"> </v>
      </c>
      <c r="C182" s="258"/>
      <c r="D182" s="332"/>
      <c r="H182" s="36" t="str">
        <f>IF(LEN(TRIM(C182)) &lt; LEN(TRIM(LEFT(B182,1))), B182 &amp; "is mandatory!","")</f>
        <v/>
      </c>
      <c r="I182" s="34">
        <f t="shared" si="5"/>
        <v>0</v>
      </c>
    </row>
    <row r="183" spans="1:13" s="12" customFormat="1" ht="3.75" customHeight="1" x14ac:dyDescent="0.3">
      <c r="A183" s="55"/>
      <c r="B183" s="127"/>
      <c r="C183" s="125"/>
      <c r="D183" s="333"/>
      <c r="E183" s="190"/>
      <c r="F183" s="55"/>
      <c r="G183" s="55"/>
      <c r="H183" s="36"/>
      <c r="I183" s="34"/>
      <c r="J183" s="167"/>
      <c r="K183" s="133"/>
      <c r="L183" s="244"/>
      <c r="M183" s="133"/>
    </row>
    <row r="184" spans="1:13" s="25" customFormat="1" ht="3.75" customHeight="1" x14ac:dyDescent="0.3">
      <c r="B184" s="45"/>
      <c r="C184" s="52"/>
      <c r="D184" s="114"/>
      <c r="E184" s="192"/>
      <c r="H184" s="145"/>
      <c r="I184" s="150">
        <f t="shared" si="5"/>
        <v>0</v>
      </c>
      <c r="J184" s="174"/>
      <c r="K184" s="137"/>
      <c r="L184" s="249"/>
      <c r="M184" s="137"/>
    </row>
    <row r="185" spans="1:13" s="25" customFormat="1" ht="3.75" customHeight="1" x14ac:dyDescent="0.3">
      <c r="B185" s="126"/>
      <c r="C185" s="124"/>
      <c r="D185" s="331"/>
      <c r="E185" s="192"/>
      <c r="H185" s="145"/>
      <c r="I185" s="150"/>
      <c r="J185" s="174"/>
      <c r="K185" s="137"/>
      <c r="L185" s="249"/>
      <c r="M185" s="137"/>
    </row>
    <row r="186" spans="1:13" ht="19.5" customHeight="1" x14ac:dyDescent="0.3">
      <c r="B186" s="123" t="str">
        <f>IF(Additional2!C7&gt;2,"Email address"," ")</f>
        <v xml:space="preserve"> </v>
      </c>
      <c r="C186" s="258"/>
      <c r="D186" s="332"/>
      <c r="H186" s="36"/>
      <c r="I186" s="34">
        <f t="shared" si="5"/>
        <v>0</v>
      </c>
    </row>
    <row r="187" spans="1:13" s="12" customFormat="1" ht="3.75" customHeight="1" x14ac:dyDescent="0.3">
      <c r="A187" s="55"/>
      <c r="B187" s="127"/>
      <c r="C187" s="125"/>
      <c r="D187" s="333"/>
      <c r="E187" s="190"/>
      <c r="F187" s="55"/>
      <c r="G187" s="55"/>
      <c r="H187" s="36"/>
      <c r="I187" s="34"/>
      <c r="J187" s="167"/>
      <c r="K187" s="133"/>
      <c r="L187" s="244"/>
      <c r="M187" s="133"/>
    </row>
    <row r="188" spans="1:13" s="12" customFormat="1" ht="15" customHeight="1" x14ac:dyDescent="0.3">
      <c r="A188" s="55"/>
      <c r="B188" s="107"/>
      <c r="C188" s="108"/>
      <c r="D188" s="31"/>
      <c r="E188" s="190"/>
      <c r="F188" s="55"/>
      <c r="G188" s="55"/>
      <c r="H188" s="145"/>
      <c r="I188" s="150"/>
      <c r="J188" s="167"/>
      <c r="K188" s="133"/>
      <c r="L188" s="244"/>
      <c r="M188" s="133"/>
    </row>
    <row r="189" spans="1:13" ht="18.75" customHeight="1" x14ac:dyDescent="0.3">
      <c r="B189" s="292" t="s">
        <v>306</v>
      </c>
      <c r="C189" s="105"/>
      <c r="D189" s="106"/>
      <c r="H189" s="36"/>
      <c r="I189" s="34">
        <f>LEN(TRIM((H189)))</f>
        <v>0</v>
      </c>
    </row>
    <row r="190" spans="1:13" ht="3" customHeight="1" x14ac:dyDescent="0.3">
      <c r="B190" s="356" t="s">
        <v>157</v>
      </c>
      <c r="C190" s="357"/>
      <c r="D190" s="110"/>
      <c r="H190" s="37"/>
      <c r="I190" s="34">
        <f>LEN(TRIM((H190)))</f>
        <v>0</v>
      </c>
    </row>
    <row r="191" spans="1:13" ht="18.75" customHeight="1" x14ac:dyDescent="0.3">
      <c r="B191" s="358"/>
      <c r="C191" s="359"/>
      <c r="D191" s="45"/>
      <c r="H191" s="36"/>
      <c r="I191" s="34">
        <f>LEN(TRIM((H191)))</f>
        <v>0</v>
      </c>
    </row>
    <row r="192" spans="1:13" s="12" customFormat="1" ht="3.75" customHeight="1" x14ac:dyDescent="0.3">
      <c r="A192" s="55"/>
      <c r="B192" s="81"/>
      <c r="C192" s="78">
        <v>0</v>
      </c>
      <c r="D192" s="337"/>
      <c r="E192" s="190"/>
      <c r="F192" s="55"/>
      <c r="G192" s="55"/>
      <c r="H192" s="36"/>
      <c r="I192" s="34"/>
      <c r="J192" s="167"/>
      <c r="K192" s="133"/>
      <c r="L192" s="244"/>
      <c r="M192" s="133"/>
    </row>
    <row r="193" spans="1:13" s="12" customFormat="1" ht="19.5" customHeight="1" x14ac:dyDescent="0.3">
      <c r="A193" s="55"/>
      <c r="B193" s="87" t="s">
        <v>243</v>
      </c>
      <c r="C193" s="157"/>
      <c r="D193" s="338"/>
      <c r="E193" s="190"/>
      <c r="F193" s="55"/>
      <c r="G193" s="55"/>
      <c r="H193" s="36" t="str">
        <f>IF(TRIM(C193) = "", B193 &amp; " is mandatory!","")</f>
        <v>Name of person submitting form * is mandatory!</v>
      </c>
      <c r="I193" s="34">
        <f t="shared" ref="I193" si="6">LEN(TRIM((H193)))</f>
        <v>46</v>
      </c>
      <c r="J193" s="167"/>
      <c r="K193" s="133"/>
      <c r="L193" s="244"/>
      <c r="M193" s="133"/>
    </row>
    <row r="194" spans="1:13" s="12" customFormat="1" ht="3.75" customHeight="1" x14ac:dyDescent="0.3">
      <c r="A194" s="55"/>
      <c r="B194" s="93"/>
      <c r="C194" s="79"/>
      <c r="D194" s="339"/>
      <c r="E194" s="190"/>
      <c r="F194" s="55"/>
      <c r="G194" s="55"/>
      <c r="H194" s="36"/>
      <c r="I194" s="34"/>
      <c r="J194" s="167"/>
      <c r="K194" s="133"/>
      <c r="L194" s="244"/>
      <c r="M194" s="133"/>
    </row>
    <row r="195" spans="1:13" s="12" customFormat="1" ht="3.75" customHeight="1" x14ac:dyDescent="0.3">
      <c r="A195" s="55"/>
      <c r="B195" s="45"/>
      <c r="C195" s="52"/>
      <c r="D195" s="94"/>
      <c r="E195" s="190"/>
      <c r="F195" s="55"/>
      <c r="G195" s="55"/>
      <c r="H195" s="36"/>
      <c r="I195" s="34">
        <f t="shared" ref="I195" si="7">LEN(TRIM((H195)))</f>
        <v>0</v>
      </c>
      <c r="J195" s="167"/>
      <c r="K195" s="133"/>
      <c r="L195" s="244"/>
      <c r="M195" s="133"/>
    </row>
    <row r="196" spans="1:13" ht="3" hidden="1" customHeight="1" x14ac:dyDescent="0.3">
      <c r="B196" s="44"/>
      <c r="C196" s="61"/>
      <c r="D196" s="94"/>
      <c r="H196" s="36"/>
      <c r="I196" s="34">
        <f>LEN(TRIM((H196)))</f>
        <v>0</v>
      </c>
    </row>
    <row r="197" spans="1:13" s="12" customFormat="1" ht="3.75" customHeight="1" x14ac:dyDescent="0.3">
      <c r="A197" s="55"/>
      <c r="B197" s="84"/>
      <c r="C197" s="86"/>
      <c r="D197" s="337"/>
      <c r="E197" s="190"/>
      <c r="F197" s="55"/>
      <c r="G197" s="55"/>
      <c r="H197" s="36"/>
      <c r="I197" s="34"/>
      <c r="J197" s="167"/>
      <c r="K197" s="133"/>
      <c r="L197" s="244"/>
      <c r="M197" s="133"/>
    </row>
    <row r="198" spans="1:13" ht="19.5" customHeight="1" x14ac:dyDescent="0.3">
      <c r="B198" s="116" t="s">
        <v>309</v>
      </c>
      <c r="C198" s="157"/>
      <c r="D198" s="338"/>
      <c r="H198" s="36" t="str">
        <f>IF(TRIM(C198) = "", B198 &amp; " is mandatory!","")</f>
        <v>Employer or Shared Services * is mandatory!</v>
      </c>
      <c r="I198" s="34">
        <f>LEN(TRIM((H198)))</f>
        <v>43</v>
      </c>
    </row>
    <row r="199" spans="1:13" s="12" customFormat="1" ht="3.75" customHeight="1" x14ac:dyDescent="0.3">
      <c r="A199" s="55"/>
      <c r="B199" s="93"/>
      <c r="C199" s="79"/>
      <c r="D199" s="339"/>
      <c r="E199" s="190"/>
      <c r="F199" s="55"/>
      <c r="G199" s="55"/>
      <c r="H199" s="36"/>
      <c r="I199" s="34"/>
      <c r="J199" s="167"/>
      <c r="K199" s="133"/>
      <c r="L199" s="244"/>
      <c r="M199" s="133"/>
    </row>
    <row r="200" spans="1:13" s="7" customFormat="1" ht="3.75" customHeight="1" x14ac:dyDescent="0.3">
      <c r="A200" s="58"/>
      <c r="B200" s="45"/>
      <c r="C200" s="52"/>
      <c r="D200" s="111"/>
      <c r="E200" s="191"/>
      <c r="F200" s="58"/>
      <c r="G200" s="58"/>
      <c r="H200" s="36"/>
      <c r="I200" s="34">
        <f>LEN(TRIM((H200)))</f>
        <v>0</v>
      </c>
      <c r="J200" s="170"/>
      <c r="K200" s="40"/>
      <c r="L200" s="33"/>
      <c r="M200" s="40"/>
    </row>
    <row r="201" spans="1:13" s="7" customFormat="1" ht="3.75" customHeight="1" x14ac:dyDescent="0.3">
      <c r="A201" s="58"/>
      <c r="B201" s="84"/>
      <c r="C201" s="70"/>
      <c r="D201" s="337"/>
      <c r="E201" s="191"/>
      <c r="F201" s="58"/>
      <c r="G201" s="58"/>
      <c r="H201" s="36"/>
      <c r="I201" s="34"/>
      <c r="J201" s="170"/>
      <c r="K201" s="40"/>
      <c r="L201" s="33"/>
      <c r="M201" s="40"/>
    </row>
    <row r="202" spans="1:13" ht="19.5" customHeight="1" x14ac:dyDescent="0.3">
      <c r="B202" s="87" t="s">
        <v>187</v>
      </c>
      <c r="C202" s="154"/>
      <c r="D202" s="338"/>
      <c r="H202" s="36" t="str">
        <f>IF(TRIM(C202) = "", B202 &amp; " is mandatory!","")</f>
        <v>Telephone number * is mandatory!</v>
      </c>
      <c r="I202" s="34">
        <f>LEN(TRIM((H202)))</f>
        <v>32</v>
      </c>
    </row>
    <row r="203" spans="1:13" s="12" customFormat="1" ht="3.75" customHeight="1" x14ac:dyDescent="0.3">
      <c r="A203" s="55"/>
      <c r="B203" s="93"/>
      <c r="C203" s="88"/>
      <c r="D203" s="339"/>
      <c r="E203" s="190"/>
      <c r="F203" s="55"/>
      <c r="G203" s="55"/>
      <c r="H203" s="36"/>
      <c r="I203" s="34"/>
      <c r="J203" s="167"/>
      <c r="K203" s="133"/>
      <c r="L203" s="244"/>
      <c r="M203" s="133"/>
    </row>
    <row r="204" spans="1:13" ht="3.75" customHeight="1" x14ac:dyDescent="0.3">
      <c r="B204" s="45"/>
      <c r="C204" s="52"/>
      <c r="D204" s="112"/>
      <c r="H204" s="36"/>
      <c r="I204" s="34">
        <f>LEN(TRIM((H204)))</f>
        <v>0</v>
      </c>
    </row>
    <row r="205" spans="1:13" s="12" customFormat="1" ht="3.75" customHeight="1" x14ac:dyDescent="0.3">
      <c r="A205" s="55"/>
      <c r="B205" s="84"/>
      <c r="C205" s="70"/>
      <c r="D205" s="360"/>
      <c r="E205" s="190"/>
      <c r="F205" s="55"/>
      <c r="G205" s="55"/>
      <c r="H205" s="36"/>
      <c r="I205" s="34"/>
      <c r="J205" s="167"/>
      <c r="K205" s="133"/>
      <c r="L205" s="244"/>
      <c r="M205" s="133"/>
    </row>
    <row r="206" spans="1:13" ht="19.5" customHeight="1" x14ac:dyDescent="0.3">
      <c r="B206" s="87" t="s">
        <v>247</v>
      </c>
      <c r="C206" s="260"/>
      <c r="D206" s="361"/>
      <c r="H206" s="36" t="str">
        <f>IF(TRIM(C206) = "", B206 &amp; " is mandatory!","")</f>
        <v>Email address * is mandatory!</v>
      </c>
      <c r="I206" s="34">
        <f>LEN(TRIM((H206)))</f>
        <v>29</v>
      </c>
    </row>
    <row r="207" spans="1:13" s="12" customFormat="1" ht="3.75" customHeight="1" x14ac:dyDescent="0.3">
      <c r="A207" s="55"/>
      <c r="B207" s="93"/>
      <c r="C207" s="88"/>
      <c r="D207" s="362"/>
      <c r="E207" s="190"/>
      <c r="F207" s="55"/>
      <c r="G207" s="55"/>
      <c r="H207" s="36"/>
      <c r="I207" s="34"/>
      <c r="J207" s="167"/>
      <c r="K207" s="133"/>
      <c r="L207" s="244"/>
      <c r="M207" s="133"/>
    </row>
    <row r="208" spans="1:13" ht="3.75" customHeight="1" x14ac:dyDescent="0.3">
      <c r="B208" s="186"/>
      <c r="C208" s="109"/>
      <c r="D208" s="113"/>
      <c r="H208" s="36"/>
      <c r="I208" s="34">
        <f>LEN(TRIM((H208)))</f>
        <v>0</v>
      </c>
    </row>
    <row r="209" spans="1:13" s="12" customFormat="1" ht="3.75" customHeight="1" x14ac:dyDescent="0.3">
      <c r="A209" s="55"/>
      <c r="B209" s="84"/>
      <c r="C209" s="70"/>
      <c r="D209" s="337"/>
      <c r="E209" s="190"/>
      <c r="F209" s="55"/>
      <c r="G209" s="55"/>
      <c r="H209" s="36"/>
      <c r="I209" s="34"/>
      <c r="J209" s="167"/>
      <c r="K209" s="133"/>
      <c r="L209" s="244"/>
      <c r="M209" s="133"/>
    </row>
    <row r="210" spans="1:13" s="12" customFormat="1" ht="19.5" customHeight="1" x14ac:dyDescent="0.3">
      <c r="A210" s="55"/>
      <c r="B210" s="87" t="s">
        <v>222</v>
      </c>
      <c r="C210" s="197"/>
      <c r="D210" s="338"/>
      <c r="E210" s="190"/>
      <c r="F210" s="55"/>
      <c r="G210" s="55"/>
      <c r="H210" s="36" t="str">
        <f>IF(TRIM(C210) = "", B210 &amp; " is mandatory!","")</f>
        <v>Date * is mandatory!</v>
      </c>
      <c r="I210" s="34">
        <f t="shared" ref="I210" si="8">LEN(TRIM((H210)))</f>
        <v>20</v>
      </c>
      <c r="J210" s="167"/>
      <c r="K210" s="133"/>
      <c r="L210" s="244"/>
      <c r="M210" s="133"/>
    </row>
    <row r="211" spans="1:13" s="12" customFormat="1" ht="3.75" customHeight="1" x14ac:dyDescent="0.3">
      <c r="A211" s="55"/>
      <c r="B211" s="93"/>
      <c r="C211" s="79"/>
      <c r="D211" s="339"/>
      <c r="E211" s="190"/>
      <c r="F211" s="55"/>
      <c r="G211" s="55"/>
      <c r="H211" s="36"/>
      <c r="I211" s="34"/>
      <c r="J211" s="167"/>
      <c r="K211" s="133"/>
      <c r="L211" s="244"/>
      <c r="M211" s="133"/>
    </row>
    <row r="212" spans="1:13" s="12" customFormat="1" ht="3.75" customHeight="1" x14ac:dyDescent="0.3">
      <c r="A212" s="55"/>
      <c r="B212" s="45"/>
      <c r="C212" s="52"/>
      <c r="D212" s="94"/>
      <c r="E212" s="190"/>
      <c r="F212" s="55"/>
      <c r="G212" s="55"/>
      <c r="H212" s="36"/>
      <c r="I212" s="34">
        <f t="shared" ref="I212" si="9">LEN(TRIM((H212)))</f>
        <v>0</v>
      </c>
      <c r="J212" s="167"/>
      <c r="K212" s="133"/>
      <c r="L212" s="244"/>
      <c r="M212" s="133"/>
    </row>
    <row r="213" spans="1:13" ht="15" customHeight="1" x14ac:dyDescent="0.3">
      <c r="B213" s="39"/>
      <c r="C213" s="62"/>
      <c r="D213" s="39"/>
      <c r="H213" s="36"/>
    </row>
    <row r="214" spans="1:13" s="214" customFormat="1" x14ac:dyDescent="0.25">
      <c r="A214" s="206"/>
      <c r="B214" s="293" t="s">
        <v>293</v>
      </c>
      <c r="C214" s="207"/>
      <c r="D214" s="208"/>
      <c r="E214" s="209"/>
      <c r="F214" s="206"/>
      <c r="G214" s="206"/>
      <c r="H214" s="210"/>
      <c r="I214" s="211"/>
      <c r="J214" s="212"/>
      <c r="K214" s="213"/>
      <c r="L214" s="256"/>
      <c r="M214" s="213"/>
    </row>
    <row r="215" spans="1:13" ht="3" customHeight="1" x14ac:dyDescent="0.3">
      <c r="B215" s="39"/>
      <c r="C215" s="62"/>
      <c r="D215" s="42"/>
      <c r="H215" s="36"/>
    </row>
    <row r="216" spans="1:13" s="202" customFormat="1" ht="18.75" customHeight="1" x14ac:dyDescent="0.2">
      <c r="A216" s="199"/>
      <c r="B216" s="215" t="s">
        <v>303</v>
      </c>
      <c r="C216" s="198"/>
      <c r="D216" s="198"/>
      <c r="E216" s="199"/>
      <c r="F216" s="199"/>
      <c r="G216" s="199"/>
      <c r="H216" s="205"/>
      <c r="I216" s="205"/>
      <c r="J216" s="198"/>
      <c r="K216" s="198"/>
      <c r="L216" s="257"/>
      <c r="M216" s="198"/>
    </row>
    <row r="217" spans="1:13" s="202" customFormat="1" ht="18.75" customHeight="1" x14ac:dyDescent="0.2">
      <c r="A217" s="199"/>
      <c r="B217" s="215" t="s">
        <v>361</v>
      </c>
      <c r="C217" s="198"/>
      <c r="D217" s="198"/>
      <c r="E217" s="199"/>
      <c r="F217" s="199"/>
      <c r="G217" s="199"/>
      <c r="H217" s="205"/>
      <c r="I217" s="205"/>
      <c r="J217" s="198"/>
      <c r="K217" s="198"/>
      <c r="L217" s="257"/>
      <c r="M217" s="198"/>
    </row>
    <row r="218" spans="1:13" s="202" customFormat="1" ht="18.75" customHeight="1" x14ac:dyDescent="0.2">
      <c r="A218" s="199"/>
      <c r="B218" s="216" t="s">
        <v>359</v>
      </c>
      <c r="C218" s="200"/>
      <c r="D218" s="198"/>
      <c r="E218" s="199"/>
      <c r="F218" s="199"/>
      <c r="G218" s="199"/>
      <c r="H218" s="205"/>
      <c r="I218" s="205"/>
      <c r="J218" s="198"/>
      <c r="K218" s="198"/>
      <c r="L218" s="257"/>
      <c r="M218" s="198"/>
    </row>
    <row r="219" spans="1:13" s="202" customFormat="1" ht="9" customHeight="1" x14ac:dyDescent="0.2">
      <c r="A219" s="199"/>
      <c r="B219" s="216"/>
      <c r="C219" s="239"/>
      <c r="D219" s="198"/>
      <c r="E219" s="199"/>
      <c r="F219" s="199"/>
      <c r="G219" s="199"/>
      <c r="H219" s="205"/>
      <c r="I219" s="205"/>
      <c r="J219" s="198"/>
      <c r="K219" s="198"/>
      <c r="L219" s="257"/>
      <c r="M219" s="198"/>
    </row>
    <row r="220" spans="1:13" s="12" customFormat="1" x14ac:dyDescent="0.3">
      <c r="A220" s="55"/>
      <c r="B220" s="291" t="s">
        <v>326</v>
      </c>
      <c r="C220" s="33"/>
      <c r="D220" s="39"/>
      <c r="E220" s="190"/>
      <c r="F220" s="55"/>
      <c r="G220" s="55"/>
      <c r="H220" s="36"/>
      <c r="I220" s="34"/>
      <c r="J220" s="167"/>
      <c r="K220" s="133"/>
      <c r="L220" s="244"/>
      <c r="M220" s="133"/>
    </row>
    <row r="221" spans="1:13" ht="3" customHeight="1" x14ac:dyDescent="0.3">
      <c r="B221" s="42"/>
      <c r="C221" s="63"/>
      <c r="D221" s="42"/>
    </row>
    <row r="222" spans="1:13" s="12" customFormat="1" ht="3.75" customHeight="1" x14ac:dyDescent="0.3">
      <c r="A222" s="55"/>
      <c r="B222" s="132"/>
      <c r="C222" s="131"/>
      <c r="D222" s="353"/>
      <c r="E222" s="190"/>
      <c r="F222" s="55"/>
      <c r="G222" s="55"/>
      <c r="H222" s="36"/>
      <c r="I222" s="34"/>
      <c r="J222" s="167"/>
      <c r="K222" s="133"/>
      <c r="L222" s="244"/>
      <c r="M222" s="133"/>
    </row>
    <row r="223" spans="1:13" s="12" customFormat="1" ht="18.75" customHeight="1" x14ac:dyDescent="0.3">
      <c r="A223" s="55"/>
      <c r="B223" s="128" t="s">
        <v>245</v>
      </c>
      <c r="C223" s="241" t="str">
        <f>IFERROR(IF('ARR&amp;AgeValidation'!C20=0,VLOOKUP(CTIcriteria!B16,CTI!A2:B31,2,FALSE),""),"")</f>
        <v/>
      </c>
      <c r="D223" s="354"/>
      <c r="E223" s="190"/>
      <c r="F223" s="55"/>
      <c r="G223" s="55"/>
      <c r="H223" s="36"/>
      <c r="I223" s="34">
        <f>SUM(I1:I210)</f>
        <v>866</v>
      </c>
      <c r="J223" s="167"/>
      <c r="K223" s="133"/>
      <c r="L223" s="244"/>
      <c r="M223" s="133"/>
    </row>
    <row r="224" spans="1:13" s="12" customFormat="1" ht="3.75" customHeight="1" x14ac:dyDescent="0.3">
      <c r="A224" s="55"/>
      <c r="B224" s="129"/>
      <c r="C224" s="130"/>
      <c r="D224" s="355"/>
      <c r="E224" s="190"/>
      <c r="F224" s="55"/>
      <c r="G224" s="55"/>
      <c r="H224" s="36"/>
      <c r="I224" s="34">
        <f>SUM(I1:I223)</f>
        <v>1732</v>
      </c>
      <c r="J224" s="167"/>
      <c r="K224" s="133"/>
      <c r="L224" s="244"/>
      <c r="M224" s="133"/>
    </row>
    <row r="225" spans="1:13" s="12" customFormat="1" ht="3.75" customHeight="1" x14ac:dyDescent="0.3">
      <c r="A225" s="55"/>
      <c r="B225" s="45"/>
      <c r="C225" s="52"/>
      <c r="D225" s="118"/>
      <c r="E225" s="190"/>
      <c r="F225" s="55"/>
      <c r="G225" s="55"/>
      <c r="H225" s="36"/>
      <c r="I225" s="34">
        <f t="shared" ref="I225" si="10">LEN(TRIM((H227)))</f>
        <v>0</v>
      </c>
      <c r="J225" s="167"/>
      <c r="K225" s="133"/>
      <c r="L225" s="244"/>
      <c r="M225" s="133"/>
    </row>
    <row r="226" spans="1:13" s="12" customFormat="1" ht="3.75" customHeight="1" x14ac:dyDescent="0.3">
      <c r="A226" s="55"/>
      <c r="B226" s="126"/>
      <c r="C226" s="124"/>
      <c r="D226" s="350"/>
      <c r="E226" s="190"/>
      <c r="F226" s="55"/>
      <c r="G226" s="55"/>
      <c r="H226" s="36"/>
      <c r="I226" s="34"/>
      <c r="J226" s="167"/>
      <c r="K226" s="133"/>
      <c r="L226" s="244"/>
      <c r="M226" s="133"/>
    </row>
    <row r="227" spans="1:13" s="12" customFormat="1" ht="18.75" customHeight="1" x14ac:dyDescent="0.3">
      <c r="A227" s="55"/>
      <c r="B227" s="128" t="s">
        <v>246</v>
      </c>
      <c r="C227" s="242" t="str">
        <f>IFERROR(IF('ARR&amp;AgeValidation'!C20=0,(VLOOKUP(C223,CTI!B1:C31,2,FALSE)),""),"")</f>
        <v/>
      </c>
      <c r="D227" s="351"/>
      <c r="E227" s="190"/>
      <c r="F227" s="55"/>
      <c r="G227" s="55"/>
      <c r="H227" s="36"/>
      <c r="I227" s="34"/>
      <c r="J227" s="167"/>
      <c r="K227" s="133"/>
      <c r="L227" s="244"/>
      <c r="M227" s="133"/>
    </row>
    <row r="228" spans="1:13" s="12" customFormat="1" ht="3.75" customHeight="1" x14ac:dyDescent="0.3">
      <c r="A228" s="55"/>
      <c r="B228" s="129"/>
      <c r="C228" s="125"/>
      <c r="D228" s="352"/>
      <c r="E228" s="190"/>
      <c r="F228" s="55"/>
      <c r="G228" s="55"/>
      <c r="H228" s="36"/>
      <c r="I228" s="34"/>
      <c r="J228" s="167"/>
      <c r="K228" s="133"/>
      <c r="L228" s="244"/>
      <c r="M228" s="133"/>
    </row>
    <row r="229" spans="1:13" x14ac:dyDescent="0.3">
      <c r="B229" s="12" t="s">
        <v>342</v>
      </c>
      <c r="C229" s="63"/>
      <c r="D229" s="42"/>
    </row>
    <row r="230" spans="1:13" x14ac:dyDescent="0.3">
      <c r="B230" s="42"/>
      <c r="C230" s="63"/>
      <c r="D230" s="42"/>
    </row>
    <row r="231" spans="1:13" x14ac:dyDescent="0.3">
      <c r="B231" s="42"/>
      <c r="C231" s="63"/>
      <c r="D231" s="42"/>
    </row>
  </sheetData>
  <sheetProtection password="EDF1" sheet="1" objects="1" scenarios="1" selectLockedCells="1"/>
  <mergeCells count="59">
    <mergeCell ref="D125:D127"/>
    <mergeCell ref="D129:D131"/>
    <mergeCell ref="E112:E114"/>
    <mergeCell ref="D79:D81"/>
    <mergeCell ref="D83:D85"/>
    <mergeCell ref="D90:D92"/>
    <mergeCell ref="D94:D96"/>
    <mergeCell ref="D98:D100"/>
    <mergeCell ref="E67:E68"/>
    <mergeCell ref="D66:D69"/>
    <mergeCell ref="D62:D64"/>
    <mergeCell ref="B67:B68"/>
    <mergeCell ref="B15:C15"/>
    <mergeCell ref="B16:C16"/>
    <mergeCell ref="D30:D32"/>
    <mergeCell ref="D26:D28"/>
    <mergeCell ref="D58:D60"/>
    <mergeCell ref="D50:D52"/>
    <mergeCell ref="D54:D56"/>
    <mergeCell ref="D38:D40"/>
    <mergeCell ref="B190:C191"/>
    <mergeCell ref="D205:D207"/>
    <mergeCell ref="D102:D104"/>
    <mergeCell ref="D106:D108"/>
    <mergeCell ref="D197:D199"/>
    <mergeCell ref="D117:D119"/>
    <mergeCell ref="D149:D151"/>
    <mergeCell ref="D153:D155"/>
    <mergeCell ref="D157:D159"/>
    <mergeCell ref="D161:D163"/>
    <mergeCell ref="D110:D115"/>
    <mergeCell ref="B111:B114"/>
    <mergeCell ref="C111:C114"/>
    <mergeCell ref="D201:D203"/>
    <mergeCell ref="D133:D135"/>
    <mergeCell ref="D141:D143"/>
    <mergeCell ref="D226:D228"/>
    <mergeCell ref="D137:D139"/>
    <mergeCell ref="D192:D194"/>
    <mergeCell ref="D209:D211"/>
    <mergeCell ref="D222:D224"/>
    <mergeCell ref="D165:D167"/>
    <mergeCell ref="D169:D171"/>
    <mergeCell ref="D173:D175"/>
    <mergeCell ref="D177:D179"/>
    <mergeCell ref="D181:D183"/>
    <mergeCell ref="D185:D187"/>
    <mergeCell ref="D145:D147"/>
    <mergeCell ref="D75:D77"/>
    <mergeCell ref="D22:D24"/>
    <mergeCell ref="D42:D44"/>
    <mergeCell ref="D46:D48"/>
    <mergeCell ref="B3:C3"/>
    <mergeCell ref="D71:D73"/>
    <mergeCell ref="B5:C5"/>
    <mergeCell ref="B4:C4"/>
    <mergeCell ref="B6:C6"/>
    <mergeCell ref="B7:C11"/>
    <mergeCell ref="B70:C70"/>
  </mergeCells>
  <conditionalFormatting sqref="B129">
    <cfRule type="expression" dxfId="161" priority="176">
      <formula>AND(B130=" ")</formula>
    </cfRule>
  </conditionalFormatting>
  <conditionalFormatting sqref="B130">
    <cfRule type="expression" dxfId="160" priority="175">
      <formula>AND(B130=" ")</formula>
    </cfRule>
  </conditionalFormatting>
  <conditionalFormatting sqref="C129">
    <cfRule type="expression" dxfId="159" priority="174">
      <formula>AND(B130=" ")</formula>
    </cfRule>
  </conditionalFormatting>
  <conditionalFormatting sqref="D129:D131 D125:D127 D133:D135 D26:D28">
    <cfRule type="expression" dxfId="158" priority="173">
      <formula>AND(B27=" ")</formula>
    </cfRule>
  </conditionalFormatting>
  <conditionalFormatting sqref="B131">
    <cfRule type="expression" dxfId="157" priority="172">
      <formula>AND(B130=" ")</formula>
    </cfRule>
  </conditionalFormatting>
  <conditionalFormatting sqref="C131">
    <cfRule type="expression" dxfId="156" priority="171">
      <formula>AND(B130=" ")</formula>
    </cfRule>
  </conditionalFormatting>
  <conditionalFormatting sqref="B133">
    <cfRule type="expression" dxfId="155" priority="170">
      <formula>AND(B134=" ")</formula>
    </cfRule>
  </conditionalFormatting>
  <conditionalFormatting sqref="B134">
    <cfRule type="expression" dxfId="154" priority="169">
      <formula>AND(B134=" ")</formula>
    </cfRule>
  </conditionalFormatting>
  <conditionalFormatting sqref="C133">
    <cfRule type="expression" dxfId="153" priority="168">
      <formula>AND(B134=" ")</formula>
    </cfRule>
  </conditionalFormatting>
  <conditionalFormatting sqref="B135">
    <cfRule type="expression" dxfId="152" priority="166">
      <formula>AND(B134=" ")</formula>
    </cfRule>
  </conditionalFormatting>
  <conditionalFormatting sqref="C135">
    <cfRule type="expression" dxfId="151" priority="165">
      <formula>AND(B134=" ")</formula>
    </cfRule>
  </conditionalFormatting>
  <conditionalFormatting sqref="B141">
    <cfRule type="expression" dxfId="150" priority="164">
      <formula>AND(B142=" ")</formula>
    </cfRule>
  </conditionalFormatting>
  <conditionalFormatting sqref="B142">
    <cfRule type="expression" dxfId="149" priority="163">
      <formula>AND(B142=" ")</formula>
    </cfRule>
  </conditionalFormatting>
  <conditionalFormatting sqref="C141">
    <cfRule type="expression" dxfId="148" priority="162">
      <formula>AND(B142=" ")</formula>
    </cfRule>
  </conditionalFormatting>
  <conditionalFormatting sqref="D141:D143">
    <cfRule type="expression" dxfId="147" priority="161">
      <formula>AND(B142=" ")</formula>
    </cfRule>
  </conditionalFormatting>
  <conditionalFormatting sqref="B143">
    <cfRule type="expression" dxfId="146" priority="160">
      <formula>AND(B142=" ")</formula>
    </cfRule>
  </conditionalFormatting>
  <conditionalFormatting sqref="C143">
    <cfRule type="expression" dxfId="145" priority="159">
      <formula>AND(B142=" ")</formula>
    </cfRule>
  </conditionalFormatting>
  <conditionalFormatting sqref="B145">
    <cfRule type="expression" dxfId="144" priority="158">
      <formula>AND(B146=" ")</formula>
    </cfRule>
  </conditionalFormatting>
  <conditionalFormatting sqref="B146">
    <cfRule type="expression" dxfId="143" priority="157">
      <formula>AND(B146=" ")</formula>
    </cfRule>
  </conditionalFormatting>
  <conditionalFormatting sqref="C145">
    <cfRule type="expression" dxfId="142" priority="156">
      <formula>AND(B146=" ")</formula>
    </cfRule>
  </conditionalFormatting>
  <conditionalFormatting sqref="D145:D147">
    <cfRule type="expression" dxfId="141" priority="155">
      <formula>AND(B146=" ")</formula>
    </cfRule>
  </conditionalFormatting>
  <conditionalFormatting sqref="B147">
    <cfRule type="expression" dxfId="140" priority="154">
      <formula>AND(B146=" ")</formula>
    </cfRule>
  </conditionalFormatting>
  <conditionalFormatting sqref="C147">
    <cfRule type="expression" dxfId="139" priority="153">
      <formula>AND(B146=" ")</formula>
    </cfRule>
  </conditionalFormatting>
  <conditionalFormatting sqref="B149">
    <cfRule type="expression" dxfId="138" priority="152">
      <formula>AND(B150=" ")</formula>
    </cfRule>
  </conditionalFormatting>
  <conditionalFormatting sqref="B150">
    <cfRule type="expression" dxfId="137" priority="151">
      <formula>AND(B150=" ")</formula>
    </cfRule>
  </conditionalFormatting>
  <conditionalFormatting sqref="C149">
    <cfRule type="expression" dxfId="136" priority="150">
      <formula>AND(B150=" ")</formula>
    </cfRule>
  </conditionalFormatting>
  <conditionalFormatting sqref="D149:D151">
    <cfRule type="expression" dxfId="135" priority="149">
      <formula>AND(B150=" ")</formula>
    </cfRule>
  </conditionalFormatting>
  <conditionalFormatting sqref="B151">
    <cfRule type="expression" dxfId="134" priority="148">
      <formula>AND(B150=" ")</formula>
    </cfRule>
  </conditionalFormatting>
  <conditionalFormatting sqref="C151">
    <cfRule type="expression" dxfId="133" priority="147">
      <formula>AND(B150=" ")</formula>
    </cfRule>
  </conditionalFormatting>
  <conditionalFormatting sqref="B153">
    <cfRule type="expression" dxfId="132" priority="146">
      <formula>AND(B154=" ")</formula>
    </cfRule>
  </conditionalFormatting>
  <conditionalFormatting sqref="B154">
    <cfRule type="expression" dxfId="131" priority="145">
      <formula>AND(B154=" ")</formula>
    </cfRule>
  </conditionalFormatting>
  <conditionalFormatting sqref="C153">
    <cfRule type="expression" dxfId="130" priority="144">
      <formula>AND(B154=" ")</formula>
    </cfRule>
  </conditionalFormatting>
  <conditionalFormatting sqref="D153:D155">
    <cfRule type="expression" dxfId="129" priority="143">
      <formula>AND(B154=" ")</formula>
    </cfRule>
  </conditionalFormatting>
  <conditionalFormatting sqref="B155">
    <cfRule type="expression" dxfId="128" priority="142">
      <formula>AND(B154=" ")</formula>
    </cfRule>
  </conditionalFormatting>
  <conditionalFormatting sqref="C155">
    <cfRule type="expression" dxfId="127" priority="141">
      <formula>AND(B154=" ")</formula>
    </cfRule>
  </conditionalFormatting>
  <conditionalFormatting sqref="B157">
    <cfRule type="expression" dxfId="126" priority="140">
      <formula>AND(B158=" ")</formula>
    </cfRule>
  </conditionalFormatting>
  <conditionalFormatting sqref="B158">
    <cfRule type="expression" dxfId="125" priority="139">
      <formula>AND(B158=" ")</formula>
    </cfRule>
  </conditionalFormatting>
  <conditionalFormatting sqref="C157">
    <cfRule type="expression" dxfId="124" priority="138">
      <formula>AND(B158=" ")</formula>
    </cfRule>
  </conditionalFormatting>
  <conditionalFormatting sqref="D157:D159">
    <cfRule type="expression" dxfId="123" priority="137">
      <formula>AND(B158=" ")</formula>
    </cfRule>
  </conditionalFormatting>
  <conditionalFormatting sqref="B159">
    <cfRule type="expression" dxfId="122" priority="136">
      <formula>AND(B158=" ")</formula>
    </cfRule>
  </conditionalFormatting>
  <conditionalFormatting sqref="C159">
    <cfRule type="expression" dxfId="121" priority="135">
      <formula>AND(B158=" ")</formula>
    </cfRule>
  </conditionalFormatting>
  <conditionalFormatting sqref="B161">
    <cfRule type="expression" dxfId="120" priority="134">
      <formula>AND(B162=" ")</formula>
    </cfRule>
  </conditionalFormatting>
  <conditionalFormatting sqref="B162">
    <cfRule type="expression" dxfId="119" priority="133">
      <formula>AND(B162=" ")</formula>
    </cfRule>
  </conditionalFormatting>
  <conditionalFormatting sqref="C161">
    <cfRule type="expression" dxfId="118" priority="132">
      <formula>AND(B162=" ")</formula>
    </cfRule>
  </conditionalFormatting>
  <conditionalFormatting sqref="D161:D163">
    <cfRule type="expression" dxfId="117" priority="131">
      <formula>AND(B162=" ")</formula>
    </cfRule>
  </conditionalFormatting>
  <conditionalFormatting sqref="B163">
    <cfRule type="expression" dxfId="116" priority="130">
      <formula>AND(B162=" ")</formula>
    </cfRule>
  </conditionalFormatting>
  <conditionalFormatting sqref="C163">
    <cfRule type="expression" dxfId="115" priority="129">
      <formula>AND(B162=" ")</formula>
    </cfRule>
  </conditionalFormatting>
  <conditionalFormatting sqref="B165">
    <cfRule type="expression" dxfId="114" priority="128">
      <formula>AND(B166=" ")</formula>
    </cfRule>
  </conditionalFormatting>
  <conditionalFormatting sqref="B166">
    <cfRule type="expression" dxfId="113" priority="127">
      <formula>AND(B166=" ")</formula>
    </cfRule>
  </conditionalFormatting>
  <conditionalFormatting sqref="C165">
    <cfRule type="expression" dxfId="112" priority="126">
      <formula>AND(B166=" ")</formula>
    </cfRule>
  </conditionalFormatting>
  <conditionalFormatting sqref="D165:D167">
    <cfRule type="expression" dxfId="111" priority="125">
      <formula>AND(B166=" ")</formula>
    </cfRule>
  </conditionalFormatting>
  <conditionalFormatting sqref="B167">
    <cfRule type="expression" dxfId="110" priority="124">
      <formula>AND(B166=" ")</formula>
    </cfRule>
  </conditionalFormatting>
  <conditionalFormatting sqref="C167">
    <cfRule type="expression" dxfId="109" priority="123">
      <formula>AND(B166=" ")</formula>
    </cfRule>
  </conditionalFormatting>
  <conditionalFormatting sqref="B169">
    <cfRule type="expression" dxfId="108" priority="122">
      <formula>AND(B170=" ")</formula>
    </cfRule>
  </conditionalFormatting>
  <conditionalFormatting sqref="B170">
    <cfRule type="expression" dxfId="107" priority="121">
      <formula>AND(B170=" ")</formula>
    </cfRule>
  </conditionalFormatting>
  <conditionalFormatting sqref="C169">
    <cfRule type="expression" dxfId="106" priority="120">
      <formula>AND(B170=" ")</formula>
    </cfRule>
  </conditionalFormatting>
  <conditionalFormatting sqref="D169:D171">
    <cfRule type="expression" dxfId="105" priority="119">
      <formula>AND(B170=" ")</formula>
    </cfRule>
  </conditionalFormatting>
  <conditionalFormatting sqref="B171">
    <cfRule type="expression" dxfId="104" priority="118">
      <formula>AND(B170=" ")</formula>
    </cfRule>
  </conditionalFormatting>
  <conditionalFormatting sqref="C171">
    <cfRule type="expression" dxfId="103" priority="117">
      <formula>AND(B170=" ")</formula>
    </cfRule>
  </conditionalFormatting>
  <conditionalFormatting sqref="B173">
    <cfRule type="expression" dxfId="102" priority="116">
      <formula>AND(B174=" ")</formula>
    </cfRule>
  </conditionalFormatting>
  <conditionalFormatting sqref="B174">
    <cfRule type="expression" dxfId="101" priority="115">
      <formula>AND(B174=" ")</formula>
    </cfRule>
  </conditionalFormatting>
  <conditionalFormatting sqref="C173">
    <cfRule type="expression" dxfId="100" priority="114">
      <formula>AND(B174=" ")</formula>
    </cfRule>
  </conditionalFormatting>
  <conditionalFormatting sqref="D173:D175">
    <cfRule type="expression" dxfId="99" priority="113">
      <formula>AND(B174=" ")</formula>
    </cfRule>
  </conditionalFormatting>
  <conditionalFormatting sqref="B175">
    <cfRule type="expression" dxfId="98" priority="112">
      <formula>AND(B174=" ")</formula>
    </cfRule>
  </conditionalFormatting>
  <conditionalFormatting sqref="C175">
    <cfRule type="expression" dxfId="97" priority="111">
      <formula>AND(B174=" ")</formula>
    </cfRule>
  </conditionalFormatting>
  <conditionalFormatting sqref="B177">
    <cfRule type="expression" dxfId="96" priority="110">
      <formula>AND(B178=" ")</formula>
    </cfRule>
  </conditionalFormatting>
  <conditionalFormatting sqref="B178">
    <cfRule type="expression" dxfId="95" priority="109">
      <formula>AND(B178=" ")</formula>
    </cfRule>
  </conditionalFormatting>
  <conditionalFormatting sqref="C177">
    <cfRule type="expression" dxfId="94" priority="108">
      <formula>AND(B178=" ")</formula>
    </cfRule>
  </conditionalFormatting>
  <conditionalFormatting sqref="D177:D179">
    <cfRule type="expression" dxfId="93" priority="107">
      <formula>AND(B178=" ")</formula>
    </cfRule>
  </conditionalFormatting>
  <conditionalFormatting sqref="B179">
    <cfRule type="expression" dxfId="92" priority="106">
      <formula>AND(B178=" ")</formula>
    </cfRule>
  </conditionalFormatting>
  <conditionalFormatting sqref="C179">
    <cfRule type="expression" dxfId="91" priority="105">
      <formula>AND(B178=" ")</formula>
    </cfRule>
  </conditionalFormatting>
  <conditionalFormatting sqref="B181">
    <cfRule type="expression" dxfId="90" priority="104">
      <formula>AND(B182=" ")</formula>
    </cfRule>
  </conditionalFormatting>
  <conditionalFormatting sqref="B182">
    <cfRule type="expression" dxfId="89" priority="103">
      <formula>AND(B182=" ")</formula>
    </cfRule>
  </conditionalFormatting>
  <conditionalFormatting sqref="C181">
    <cfRule type="expression" dxfId="88" priority="102">
      <formula>AND(B182=" ")</formula>
    </cfRule>
  </conditionalFormatting>
  <conditionalFormatting sqref="D181:D183">
    <cfRule type="expression" dxfId="87" priority="101">
      <formula>AND(B182=" ")</formula>
    </cfRule>
  </conditionalFormatting>
  <conditionalFormatting sqref="B183">
    <cfRule type="expression" dxfId="86" priority="100">
      <formula>AND(B182=" ")</formula>
    </cfRule>
  </conditionalFormatting>
  <conditionalFormatting sqref="C183">
    <cfRule type="expression" dxfId="85" priority="99">
      <formula>AND(B182=" ")</formula>
    </cfRule>
  </conditionalFormatting>
  <conditionalFormatting sqref="B185">
    <cfRule type="expression" dxfId="84" priority="98">
      <formula>AND(B186=" ")</formula>
    </cfRule>
  </conditionalFormatting>
  <conditionalFormatting sqref="B186">
    <cfRule type="expression" dxfId="83" priority="97">
      <formula>AND(B186=" ")</formula>
    </cfRule>
  </conditionalFormatting>
  <conditionalFormatting sqref="C185">
    <cfRule type="expression" dxfId="82" priority="96">
      <formula>AND(B186=" ")</formula>
    </cfRule>
  </conditionalFormatting>
  <conditionalFormatting sqref="D185:D187">
    <cfRule type="expression" dxfId="81" priority="95">
      <formula>AND(B186=" ")</formula>
    </cfRule>
  </conditionalFormatting>
  <conditionalFormatting sqref="B187">
    <cfRule type="expression" dxfId="80" priority="94">
      <formula>AND(B186=" ")</formula>
    </cfRule>
  </conditionalFormatting>
  <conditionalFormatting sqref="C187">
    <cfRule type="expression" dxfId="79" priority="93">
      <formula>AND(B186=" ")</formula>
    </cfRule>
  </conditionalFormatting>
  <conditionalFormatting sqref="B125">
    <cfRule type="expression" dxfId="78" priority="92">
      <formula>AND(B126=" ")</formula>
    </cfRule>
  </conditionalFormatting>
  <conditionalFormatting sqref="B126">
    <cfRule type="expression" dxfId="77" priority="91">
      <formula>AND(B126=" ")</formula>
    </cfRule>
  </conditionalFormatting>
  <conditionalFormatting sqref="C125">
    <cfRule type="expression" dxfId="76" priority="90">
      <formula>AND(B126=" ")</formula>
    </cfRule>
  </conditionalFormatting>
  <conditionalFormatting sqref="B127">
    <cfRule type="expression" dxfId="75" priority="88">
      <formula>AND(B126=" ")</formula>
    </cfRule>
  </conditionalFormatting>
  <conditionalFormatting sqref="C127">
    <cfRule type="expression" dxfId="74" priority="87">
      <formula>AND(B126=" ")</formula>
    </cfRule>
  </conditionalFormatting>
  <conditionalFormatting sqref="B137">
    <cfRule type="expression" dxfId="73" priority="80">
      <formula>AND(B138="")</formula>
    </cfRule>
  </conditionalFormatting>
  <conditionalFormatting sqref="B138">
    <cfRule type="expression" dxfId="72" priority="79">
      <formula>AND(B138="")</formula>
    </cfRule>
  </conditionalFormatting>
  <conditionalFormatting sqref="C137">
    <cfRule type="expression" dxfId="71" priority="78">
      <formula>AND(B138="")</formula>
    </cfRule>
  </conditionalFormatting>
  <conditionalFormatting sqref="D137:D139 D117:D119">
    <cfRule type="expression" dxfId="70" priority="77">
      <formula>AND(B118="")</formula>
    </cfRule>
  </conditionalFormatting>
  <conditionalFormatting sqref="B139">
    <cfRule type="expression" dxfId="69" priority="76">
      <formula>AND(B138="")</formula>
    </cfRule>
  </conditionalFormatting>
  <conditionalFormatting sqref="C139">
    <cfRule type="expression" dxfId="68" priority="75">
      <formula>AND(B138="")</formula>
    </cfRule>
  </conditionalFormatting>
  <conditionalFormatting sqref="B79">
    <cfRule type="expression" dxfId="67" priority="74">
      <formula>AND(B80="")</formula>
    </cfRule>
  </conditionalFormatting>
  <conditionalFormatting sqref="B80">
    <cfRule type="expression" dxfId="66" priority="73">
      <formula>AND(B80="")</formula>
    </cfRule>
  </conditionalFormatting>
  <conditionalFormatting sqref="C79">
    <cfRule type="expression" dxfId="65" priority="72">
      <formula>AND(B80="")</formula>
    </cfRule>
  </conditionalFormatting>
  <conditionalFormatting sqref="D79:D81">
    <cfRule type="expression" dxfId="64" priority="71">
      <formula>AND(B80="")</formula>
    </cfRule>
  </conditionalFormatting>
  <conditionalFormatting sqref="B81">
    <cfRule type="expression" dxfId="63" priority="70">
      <formula>AND(B80="")</formula>
    </cfRule>
  </conditionalFormatting>
  <conditionalFormatting sqref="C81">
    <cfRule type="expression" dxfId="62" priority="69">
      <formula>AND(B80="")</formula>
    </cfRule>
  </conditionalFormatting>
  <conditionalFormatting sqref="B83">
    <cfRule type="expression" dxfId="61" priority="68">
      <formula>AND(B84="")</formula>
    </cfRule>
  </conditionalFormatting>
  <conditionalFormatting sqref="B84">
    <cfRule type="expression" dxfId="60" priority="67">
      <formula>AND(B84="")</formula>
    </cfRule>
  </conditionalFormatting>
  <conditionalFormatting sqref="C83">
    <cfRule type="expression" dxfId="59" priority="66">
      <formula>AND(B84="")</formula>
    </cfRule>
  </conditionalFormatting>
  <conditionalFormatting sqref="D83:D85">
    <cfRule type="expression" dxfId="58" priority="65">
      <formula>AND(B84="")</formula>
    </cfRule>
  </conditionalFormatting>
  <conditionalFormatting sqref="B85">
    <cfRule type="expression" dxfId="57" priority="64">
      <formula>AND(B84="")</formula>
    </cfRule>
  </conditionalFormatting>
  <conditionalFormatting sqref="C85">
    <cfRule type="expression" dxfId="56" priority="63">
      <formula>AND(B84="")</formula>
    </cfRule>
  </conditionalFormatting>
  <conditionalFormatting sqref="B117">
    <cfRule type="expression" dxfId="55" priority="62">
      <formula>AND(B118="")</formula>
    </cfRule>
  </conditionalFormatting>
  <conditionalFormatting sqref="B118">
    <cfRule type="expression" dxfId="54" priority="61">
      <formula>AND(B118="")</formula>
    </cfRule>
  </conditionalFormatting>
  <conditionalFormatting sqref="C117">
    <cfRule type="expression" dxfId="53" priority="60">
      <formula>AND(B118="")</formula>
    </cfRule>
  </conditionalFormatting>
  <conditionalFormatting sqref="B119">
    <cfRule type="expression" dxfId="52" priority="58">
      <formula>AND(B118="")</formula>
    </cfRule>
  </conditionalFormatting>
  <conditionalFormatting sqref="C119">
    <cfRule type="expression" dxfId="51" priority="57">
      <formula>AND(B118="")</formula>
    </cfRule>
  </conditionalFormatting>
  <conditionalFormatting sqref="C170">
    <cfRule type="expression" dxfId="50" priority="55">
      <formula>AND(B170=" ")</formula>
    </cfRule>
  </conditionalFormatting>
  <conditionalFormatting sqref="B26">
    <cfRule type="expression" dxfId="49" priority="53">
      <formula>AND(B27=" ")</formula>
    </cfRule>
  </conditionalFormatting>
  <conditionalFormatting sqref="B27">
    <cfRule type="expression" dxfId="48" priority="52">
      <formula>AND(B27=" ")</formula>
    </cfRule>
  </conditionalFormatting>
  <conditionalFormatting sqref="C26">
    <cfRule type="expression" dxfId="47" priority="51">
      <formula>AND(B27=" ")</formula>
    </cfRule>
  </conditionalFormatting>
  <conditionalFormatting sqref="B28">
    <cfRule type="expression" dxfId="46" priority="50">
      <formula>AND(B27=" ")</formula>
    </cfRule>
  </conditionalFormatting>
  <conditionalFormatting sqref="C28">
    <cfRule type="expression" dxfId="45" priority="49">
      <formula>AND(B27=" ")</formula>
    </cfRule>
  </conditionalFormatting>
  <conditionalFormatting sqref="D71:D73">
    <cfRule type="expression" dxfId="44" priority="27">
      <formula>AND(B72=" ")</formula>
    </cfRule>
  </conditionalFormatting>
  <conditionalFormatting sqref="B71">
    <cfRule type="expression" dxfId="43" priority="26">
      <formula>AND(B72=" ")</formula>
    </cfRule>
  </conditionalFormatting>
  <conditionalFormatting sqref="B72">
    <cfRule type="expression" dxfId="42" priority="25">
      <formula>AND(B72=" ")</formula>
    </cfRule>
  </conditionalFormatting>
  <conditionalFormatting sqref="C71">
    <cfRule type="expression" dxfId="41" priority="24">
      <formula>AND(B72=" ")</formula>
    </cfRule>
  </conditionalFormatting>
  <conditionalFormatting sqref="B73">
    <cfRule type="expression" dxfId="40" priority="23">
      <formula>AND(B72=" ")</formula>
    </cfRule>
  </conditionalFormatting>
  <conditionalFormatting sqref="C73">
    <cfRule type="expression" dxfId="39" priority="22">
      <formula>AND(B72=" ")</formula>
    </cfRule>
  </conditionalFormatting>
  <conditionalFormatting sqref="D75:D77">
    <cfRule type="expression" dxfId="38" priority="20">
      <formula>AND(B76=" ")</formula>
    </cfRule>
  </conditionalFormatting>
  <conditionalFormatting sqref="B75">
    <cfRule type="expression" dxfId="37" priority="19">
      <formula>AND(B76=" ")</formula>
    </cfRule>
  </conditionalFormatting>
  <conditionalFormatting sqref="B76">
    <cfRule type="expression" dxfId="36" priority="18">
      <formula>AND(B76=" ")</formula>
    </cfRule>
  </conditionalFormatting>
  <conditionalFormatting sqref="C75">
    <cfRule type="expression" dxfId="35" priority="17">
      <formula>AND(B76=" ")</formula>
    </cfRule>
  </conditionalFormatting>
  <conditionalFormatting sqref="B77">
    <cfRule type="expression" dxfId="34" priority="16">
      <formula>AND(B76=" ")</formula>
    </cfRule>
  </conditionalFormatting>
  <conditionalFormatting sqref="C77">
    <cfRule type="expression" dxfId="33" priority="15">
      <formula>AND(B76=" ")</formula>
    </cfRule>
  </conditionalFormatting>
  <conditionalFormatting sqref="B67:B68">
    <cfRule type="expression" dxfId="32" priority="13">
      <formula>AND(B67=" ")</formula>
    </cfRule>
  </conditionalFormatting>
  <conditionalFormatting sqref="B66">
    <cfRule type="expression" dxfId="31" priority="11">
      <formula>AND(B67=" ")</formula>
    </cfRule>
  </conditionalFormatting>
  <conditionalFormatting sqref="B69">
    <cfRule type="expression" dxfId="30" priority="10">
      <formula>AND(B67=" ")</formula>
    </cfRule>
  </conditionalFormatting>
  <conditionalFormatting sqref="C66">
    <cfRule type="expression" dxfId="29" priority="9">
      <formula>AND(B67=" ")</formula>
    </cfRule>
  </conditionalFormatting>
  <conditionalFormatting sqref="C67">
    <cfRule type="expression" dxfId="28" priority="8">
      <formula>AND(B67=" ")</formula>
    </cfRule>
  </conditionalFormatting>
  <conditionalFormatting sqref="C68">
    <cfRule type="expression" dxfId="27" priority="7">
      <formula>AND(B67=" ")</formula>
    </cfRule>
  </conditionalFormatting>
  <conditionalFormatting sqref="C69">
    <cfRule type="expression" dxfId="26" priority="6">
      <formula>AND(B67=" ")</formula>
    </cfRule>
  </conditionalFormatting>
  <conditionalFormatting sqref="D66:D69">
    <cfRule type="expression" dxfId="25" priority="5">
      <formula>AND(B67=" ")</formula>
    </cfRule>
  </conditionalFormatting>
  <dataValidations count="7">
    <dataValidation type="date" allowBlank="1" showInputMessage="1" showErrorMessage="1" error="Please enter a valid date." sqref="C51">
      <formula1>NOW() - (87 * 365.25)</formula1>
      <formula2>NOW() - (16 * 365.25)</formula2>
    </dataValidation>
    <dataValidation type="date" allowBlank="1" showInputMessage="1" showErrorMessage="1" error="Please enter a valid date" sqref="C138">
      <formula1>NOW() - (64 * 365.25)</formula1>
      <formula2>NOW()</formula2>
    </dataValidation>
    <dataValidation type="date" allowBlank="1" showInputMessage="1" showErrorMessage="1" error="Please enter a valid date." sqref="C210">
      <formula1>NOW() - (60)</formula1>
      <formula2>NOW()</formula2>
    </dataValidation>
    <dataValidation type="date" allowBlank="1" showInputMessage="1" showErrorMessage="1" error="Please enter a valid date." sqref="C27">
      <formula1>NOW() - (2 * 365.25)</formula1>
      <formula2>NOW() + (1 * 365.25)</formula2>
    </dataValidation>
    <dataValidation type="custom" allowBlank="1" showInputMessage="1" showErrorMessage="1" errorTitle="NI number" error="This format should be AANNNNNNA." sqref="C55">
      <formula1>AND(LEN(C55)=9,(ISNUMBER(VALUE((MID(C55,3,6))))),CODE(UPPER(LEFT(C55,1)))&gt;64,CODE(UPPER(LEFT(C55,1)))&lt;91,CODE(UPPER(MID(C55,2,1)))&gt;64,CODE(UPPER(MID(C55,2,1)))&lt;91,CODE(UPPER(RIGHT(C55,1)))&gt;64,CODE(UPPER(RIGHT(C55,1)))&lt;91)</formula1>
    </dataValidation>
    <dataValidation type="list" allowBlank="1" showInputMessage="1" showErrorMessage="1" sqref="C127">
      <formula1>$A$2:$A$4</formula1>
    </dataValidation>
    <dataValidation type="date" allowBlank="1" showInputMessage="1" showErrorMessage="1" error="Please enter a valid date" sqref="C84 C130">
      <formula1>NOW() - (64 * 365.25)</formula1>
      <formula2>NOW()</formula2>
    </dataValidation>
  </dataValidations>
  <pageMargins left="0.70866141732283472" right="0.70866141732283472" top="0.74803149606299213" bottom="0.74803149606299213" header="0.31496062992125984" footer="0.31496062992125984"/>
  <pageSetup paperSize="9" scale="46"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54E65913-38DF-4E95-B1B2-0636358B3DA3}">
            <xm:f>AND(WhiteFont!$H$52 = "Delete")</xm:f>
            <x14:dxf>
              <font>
                <color theme="0"/>
              </font>
            </x14:dxf>
          </x14:cfRule>
          <xm:sqref>C67</xm:sqref>
        </x14:conditionalFormatting>
        <x14:conditionalFormatting xmlns:xm="http://schemas.microsoft.com/office/excel/2006/main">
          <x14:cfRule type="expression" priority="3" id="{D0D95619-AA31-4CFD-BA9F-E4FBEE73AE01}">
            <xm:f>AND(WhiteFont!$H$53 = "Delete")</xm:f>
            <x14:dxf>
              <font>
                <color theme="0"/>
              </font>
            </x14:dxf>
          </x14:cfRule>
          <xm:sqref>C68</xm:sqref>
        </x14:conditionalFormatting>
        <x14:conditionalFormatting xmlns:xm="http://schemas.microsoft.com/office/excel/2006/main">
          <x14:cfRule type="expression" priority="47" id="{F60B7AB7-B00D-455D-9697-D0120EB63462}">
            <xm:f>AND(WhiteFont!$H$8 = "Delete")</xm:f>
            <x14:dxf>
              <font>
                <strike val="0"/>
                <color theme="0"/>
              </font>
            </x14:dxf>
          </x14:cfRule>
          <xm:sqref>C126</xm:sqref>
        </x14:conditionalFormatting>
        <x14:conditionalFormatting xmlns:xm="http://schemas.microsoft.com/office/excel/2006/main">
          <x14:cfRule type="expression" priority="46" id="{B7F41D7D-CC6F-4559-A9CA-0949C2C2DEB9}">
            <xm:f>AND(WhiteFont!$H$13 = "Delete")</xm:f>
            <x14:dxf>
              <font>
                <strike val="0"/>
                <color theme="0"/>
              </font>
            </x14:dxf>
          </x14:cfRule>
          <xm:sqref>C134</xm:sqref>
        </x14:conditionalFormatting>
        <x14:conditionalFormatting xmlns:xm="http://schemas.microsoft.com/office/excel/2006/main">
          <x14:cfRule type="expression" priority="45" id="{BA4D5083-2892-4F43-A695-64EB33A7B725}">
            <xm:f>AND(WhiteFont!$H$19 = "Delete")</xm:f>
            <x14:dxf>
              <font>
                <strike val="0"/>
                <color theme="0"/>
              </font>
            </x14:dxf>
          </x14:cfRule>
          <xm:sqref>C80</xm:sqref>
        </x14:conditionalFormatting>
        <x14:conditionalFormatting xmlns:xm="http://schemas.microsoft.com/office/excel/2006/main">
          <x14:cfRule type="expression" priority="44" id="{7EAA3578-CB7F-4067-978C-7617CE18936D}">
            <xm:f>AND(WhiteFont!$H$32 = "Delete")</xm:f>
            <x14:dxf>
              <font>
                <strike val="0"/>
                <color theme="0"/>
              </font>
            </x14:dxf>
          </x14:cfRule>
          <xm:sqref>C138</xm:sqref>
        </x14:conditionalFormatting>
        <x14:conditionalFormatting xmlns:xm="http://schemas.microsoft.com/office/excel/2006/main">
          <x14:cfRule type="expression" priority="43" id="{C82A8EE8-67D2-42B3-BFB9-BB7362EF183D}">
            <xm:f>AND(WhiteFont!$H$30 = "Delete")</xm:f>
            <x14:dxf>
              <font>
                <strike val="0"/>
                <color theme="0"/>
              </font>
            </x14:dxf>
          </x14:cfRule>
          <xm:sqref>C130</xm:sqref>
        </x14:conditionalFormatting>
        <x14:conditionalFormatting xmlns:xm="http://schemas.microsoft.com/office/excel/2006/main">
          <x14:cfRule type="expression" priority="42" id="{8581DDF6-553C-4A81-819A-51FA03DA6640}">
            <xm:f>AND(WhiteFont!$H$36 = "Delete")</xm:f>
            <x14:dxf>
              <font>
                <strike val="0"/>
                <color theme="0"/>
              </font>
            </x14:dxf>
          </x14:cfRule>
          <xm:sqref>C84</xm:sqref>
        </x14:conditionalFormatting>
        <x14:conditionalFormatting xmlns:xm="http://schemas.microsoft.com/office/excel/2006/main">
          <x14:cfRule type="expression" priority="41" id="{76604E8E-D041-4C88-A2FE-8765E4F5A83D}">
            <xm:f>AND(WhiteFont!$H$38 = "Delete")</xm:f>
            <x14:dxf>
              <font>
                <strike val="0"/>
                <color theme="0"/>
              </font>
            </x14:dxf>
          </x14:cfRule>
          <xm:sqref>C142</xm:sqref>
        </x14:conditionalFormatting>
        <x14:conditionalFormatting xmlns:xm="http://schemas.microsoft.com/office/excel/2006/main">
          <x14:cfRule type="expression" priority="40" id="{5A40EDC6-2A08-48AB-81DA-A3E35D904F1C}">
            <xm:f>AND(WhiteFont!$H$39 = "Delete")</xm:f>
            <x14:dxf>
              <font>
                <strike val="0"/>
                <color theme="0"/>
              </font>
            </x14:dxf>
          </x14:cfRule>
          <xm:sqref>C146</xm:sqref>
        </x14:conditionalFormatting>
        <x14:conditionalFormatting xmlns:xm="http://schemas.microsoft.com/office/excel/2006/main">
          <x14:cfRule type="expression" priority="39" id="{6BB02F3A-7448-4611-9582-2572EF041718}">
            <xm:f>AND(WhiteFont!$H$40 = "Delete")</xm:f>
            <x14:dxf>
              <font>
                <strike/>
                <color theme="0"/>
              </font>
            </x14:dxf>
          </x14:cfRule>
          <xm:sqref>C150</xm:sqref>
        </x14:conditionalFormatting>
        <x14:conditionalFormatting xmlns:xm="http://schemas.microsoft.com/office/excel/2006/main">
          <x14:cfRule type="expression" priority="38" id="{D326237D-00AC-4434-B4F7-6457EC39CD4C}">
            <xm:f>AND(WhiteFont!$H$41 = "Delete")</xm:f>
            <x14:dxf>
              <font>
                <strike val="0"/>
                <color theme="0"/>
              </font>
            </x14:dxf>
          </x14:cfRule>
          <xm:sqref>C154</xm:sqref>
        </x14:conditionalFormatting>
        <x14:conditionalFormatting xmlns:xm="http://schemas.microsoft.com/office/excel/2006/main">
          <x14:cfRule type="expression" priority="37" id="{5122708B-A952-4094-BBB6-30253D0BDAF3}">
            <xm:f>AND(WhiteFont!$H$42 = "Delete")</xm:f>
            <x14:dxf>
              <font>
                <strike val="0"/>
                <color theme="0"/>
              </font>
            </x14:dxf>
          </x14:cfRule>
          <xm:sqref>C158</xm:sqref>
        </x14:conditionalFormatting>
        <x14:conditionalFormatting xmlns:xm="http://schemas.microsoft.com/office/excel/2006/main">
          <x14:cfRule type="expression" priority="36" id="{D2E9899D-E5E8-4115-A0DA-02AACE625530}">
            <xm:f>AND(WhiteFont!$H$43 = "Delete")</xm:f>
            <x14:dxf>
              <font>
                <strike val="0"/>
                <color theme="0"/>
              </font>
            </x14:dxf>
          </x14:cfRule>
          <xm:sqref>C162</xm:sqref>
        </x14:conditionalFormatting>
        <x14:conditionalFormatting xmlns:xm="http://schemas.microsoft.com/office/excel/2006/main">
          <x14:cfRule type="expression" priority="35" id="{FAE9078B-0C40-4034-B404-4B9C621DAB73}">
            <xm:f>AND(WhiteFont!$H$44 = "Delete")</xm:f>
            <x14:dxf>
              <font>
                <strike val="0"/>
                <color theme="0"/>
              </font>
            </x14:dxf>
          </x14:cfRule>
          <xm:sqref>C166</xm:sqref>
        </x14:conditionalFormatting>
        <x14:conditionalFormatting xmlns:xm="http://schemas.microsoft.com/office/excel/2006/main">
          <x14:cfRule type="expression" priority="34" id="{9D8D556E-853F-4854-B77A-9D873F145C72}">
            <xm:f>AND(WhiteFont!$H$46 = "Delete")</xm:f>
            <x14:dxf>
              <font>
                <strike val="0"/>
                <color theme="0"/>
              </font>
            </x14:dxf>
          </x14:cfRule>
          <xm:sqref>C174</xm:sqref>
        </x14:conditionalFormatting>
        <x14:conditionalFormatting xmlns:xm="http://schemas.microsoft.com/office/excel/2006/main">
          <x14:cfRule type="expression" priority="33" id="{D0CFA660-3B38-4650-8E82-4B46368AB347}">
            <xm:f>AND(WhiteFont!$H$47 = "Delete")</xm:f>
            <x14:dxf>
              <font>
                <strike val="0"/>
                <color theme="0"/>
              </font>
            </x14:dxf>
          </x14:cfRule>
          <xm:sqref>C178</xm:sqref>
        </x14:conditionalFormatting>
        <x14:conditionalFormatting xmlns:xm="http://schemas.microsoft.com/office/excel/2006/main">
          <x14:cfRule type="expression" priority="32" id="{FF5AAC59-70FC-4DDF-9CFA-0AD32CE0E69A}">
            <xm:f>AND(WhiteFont!$H$48 = "Delete")</xm:f>
            <x14:dxf>
              <font>
                <strike val="0"/>
                <color theme="0"/>
              </font>
            </x14:dxf>
          </x14:cfRule>
          <xm:sqref>C182</xm:sqref>
        </x14:conditionalFormatting>
        <x14:conditionalFormatting xmlns:xm="http://schemas.microsoft.com/office/excel/2006/main">
          <x14:cfRule type="expression" priority="30" id="{6220984B-32EB-44BA-ABCC-A254E6D943BF}">
            <xm:f>AND(WhiteFont!$H$49 = "Delete")</xm:f>
            <x14:dxf>
              <font>
                <strike val="0"/>
                <color theme="0"/>
              </font>
            </x14:dxf>
          </x14:cfRule>
          <xm:sqref>C186</xm:sqref>
        </x14:conditionalFormatting>
        <x14:conditionalFormatting xmlns:xm="http://schemas.microsoft.com/office/excel/2006/main">
          <x14:cfRule type="expression" priority="29" id="{A1E44B55-6D8E-46C3-8168-AAF9FBD41B93}">
            <xm:f>AND(WhiteFont!$H$50 = "Delete")</xm:f>
            <x14:dxf>
              <font>
                <strike val="0"/>
                <color theme="0"/>
              </font>
            </x14:dxf>
          </x14:cfRule>
          <xm:sqref>C118</xm:sqref>
        </x14:conditionalFormatting>
        <x14:conditionalFormatting xmlns:xm="http://schemas.microsoft.com/office/excel/2006/main">
          <x14:cfRule type="expression" priority="28" id="{21C34A30-8ACA-417B-BF95-58970EAAA636}">
            <xm:f>AND(WhiteFont!$H$51 = "Delete")</xm:f>
            <x14:dxf>
              <font>
                <strike val="0"/>
                <color theme="0"/>
              </font>
            </x14:dxf>
          </x14:cfRule>
          <xm:sqref>C27</xm:sqref>
        </x14:conditionalFormatting>
        <x14:conditionalFormatting xmlns:xm="http://schemas.microsoft.com/office/excel/2006/main">
          <x14:cfRule type="expression" priority="1" id="{75180303-CBE4-40CB-A062-2DA24CCE154B}">
            <xm:f>AND(WhiteFont!$H$55 = "Delete")</xm:f>
            <x14:dxf>
              <font>
                <color theme="0"/>
              </font>
            </x14:dxf>
          </x14:cfRule>
          <x14:cfRule type="expression" priority="14" id="{F4CC90B2-35F8-4C08-A6BD-580E70B4D60D}">
            <xm:f>AND(WhiteFont!$H$51 = "Delete")</xm:f>
            <x14:dxf>
              <font>
                <strike val="0"/>
                <color theme="0"/>
              </font>
            </x14:dxf>
          </x14:cfRule>
          <xm:sqref>C76</xm:sqref>
        </x14:conditionalFormatting>
        <x14:conditionalFormatting xmlns:xm="http://schemas.microsoft.com/office/excel/2006/main">
          <x14:cfRule type="expression" priority="2" id="{A5ADA32A-5265-451B-AE6F-359B79231A45}">
            <xm:f>AND(WhiteFont!$H$54 = "Delete")</xm:f>
            <x14:dxf>
              <font>
                <color theme="0"/>
              </font>
            </x14:dxf>
          </x14:cfRule>
          <x14:cfRule type="expression" priority="21" id="{AC660E94-49B1-43DF-A00D-B4C45821ABA2}">
            <xm:f>AND(WhiteFont!$H$51 = "Delete")</xm:f>
            <x14:dxf>
              <font>
                <strike val="0"/>
                <color theme="0"/>
              </font>
            </x14:dxf>
          </x14:cfRule>
          <xm:sqref>C72</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Gender!$A$1:$A$2</xm:f>
          </x14:formula1>
          <xm:sqref>C64</xm:sqref>
        </x14:dataValidation>
        <x14:dataValidation type="list" allowBlank="1" showInputMessage="1" showErrorMessage="1">
          <x14:formula1>
            <xm:f>YesNoUnknown!$A$1:$A$3</xm:f>
          </x14:formula1>
          <xm:sqref>C104 C92 C96 C100 C108</xm:sqref>
        </x14:dataValidation>
        <x14:dataValidation type="list" allowBlank="1" showInputMessage="1" showErrorMessage="1" prompt="Please select entry">
          <x14:formula1>
            <xm:f>DISYesNo!$A$1:$A$2</xm:f>
          </x14:formula1>
          <xm:sqref>C134</xm:sqref>
        </x14:dataValidation>
        <x14:dataValidation type="list" allowBlank="1" showInputMessage="1" showErrorMessage="1" prompt="Please select entry">
          <x14:formula1>
            <xm:f>MaritalStatus!$A$1:$A$7</xm:f>
          </x14:formula1>
          <xm:sqref>C80</xm:sqref>
        </x14:dataValidation>
        <x14:dataValidation type="list" allowBlank="1" showInputMessage="1" showErrorMessage="1" prompt="Please select entry">
          <x14:formula1>
            <xm:f>Service!$A$2:$A$16</xm:f>
          </x14:formula1>
          <xm:sqref>C23</xm:sqref>
        </x14:dataValidation>
        <x14:dataValidation type="list" allowBlank="1" showInputMessage="1" showErrorMessage="1" prompt="Please select entry">
          <x14:formula1>
            <xm:f>Gender!$A$1:$A$2</xm:f>
          </x14:formula1>
          <xm:sqref>C63</xm:sqref>
        </x14:dataValidation>
        <x14:dataValidation type="list" allowBlank="1" showInputMessage="1" showErrorMessage="1" prompt="Please select entry">
          <x14:formula1>
            <xm:f>YesNoUnknown!$A$1:$A$3</xm:f>
          </x14:formula1>
          <xm:sqref>C107 C91 C95 C99 C103</xm:sqref>
        </x14:dataValidation>
        <x14:dataValidation type="list" allowBlank="1" showInputMessage="1" showErrorMessage="1">
          <x14:formula1>
            <xm:f>Scheme!$A$1:$A$11</xm:f>
          </x14:formula1>
          <xm:sqref>C60</xm:sqref>
        </x14:dataValidation>
        <x14:dataValidation type="list" allowBlank="1" showInputMessage="1" showErrorMessage="1" prompt="Please select entry">
          <x14:formula1>
            <xm:f>Scheme!$A$1:$A$11</xm:f>
          </x14:formula1>
          <xm:sqref>C59</xm:sqref>
        </x14:dataValidation>
        <x14:dataValidation type="list" allowBlank="1" showInputMessage="1" showErrorMessage="1">
          <x14:formula1>
            <xm:f>AddInfoList1!$B$2:$B$4</xm:f>
          </x14:formula1>
          <xm:sqref>C28</xm:sqref>
        </x14:dataValidation>
        <x14:dataValidation type="list" allowBlank="1" showInputMessage="1" showErrorMessage="1" prompt="Please select entry">
          <x14:formula1>
            <xm:f>AddInfoList1!$A$2:$A$4</xm:f>
          </x14:formula1>
          <xm:sqref>C126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4" sqref="B14:B15"/>
    </sheetView>
  </sheetViews>
  <sheetFormatPr defaultRowHeight="15" x14ac:dyDescent="0.25"/>
  <sheetData>
    <row r="1" spans="1:2" x14ac:dyDescent="0.25">
      <c r="A1" t="s">
        <v>5</v>
      </c>
    </row>
    <row r="2" spans="1:2" x14ac:dyDescent="0.25">
      <c r="A2" t="s">
        <v>4</v>
      </c>
    </row>
    <row r="3" spans="1:2" x14ac:dyDescent="0.25">
      <c r="A3" t="s">
        <v>9</v>
      </c>
    </row>
    <row r="6" spans="1:2" x14ac:dyDescent="0.25">
      <c r="B6" s="264" t="s">
        <v>390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4" sqref="B14:B15"/>
    </sheetView>
  </sheetViews>
  <sheetFormatPr defaultRowHeight="15" x14ac:dyDescent="0.25"/>
  <sheetData>
    <row r="1" spans="1:3" x14ac:dyDescent="0.25">
      <c r="A1" t="str">
        <f>IF(ServiceType!B3="Quote-Death-in-Service", "Yes","")</f>
        <v/>
      </c>
    </row>
    <row r="2" spans="1:3" x14ac:dyDescent="0.25">
      <c r="A2" s="12" t="str">
        <f>IF(ServiceType!B3="Quote-Death-in-Service", "No","")</f>
        <v/>
      </c>
    </row>
    <row r="4" spans="1:3" x14ac:dyDescent="0.25">
      <c r="C4" s="264" t="s">
        <v>436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B14" sqref="B14:B15"/>
    </sheetView>
  </sheetViews>
  <sheetFormatPr defaultRowHeight="15" x14ac:dyDescent="0.25"/>
  <cols>
    <col min="1" max="1" width="19.140625" customWidth="1"/>
    <col min="2" max="2" width="10.85546875" customWidth="1"/>
    <col min="5" max="5" width="49.5703125" customWidth="1"/>
    <col min="6" max="6" width="18.140625" style="12" customWidth="1"/>
    <col min="7" max="7" width="8.28515625" customWidth="1"/>
    <col min="8" max="8" width="47.85546875" customWidth="1"/>
    <col min="9" max="9" width="13.85546875" customWidth="1"/>
    <col min="11" max="11" width="44.5703125" customWidth="1"/>
  </cols>
  <sheetData>
    <row r="1" spans="1:12" s="12" customFormat="1" x14ac:dyDescent="0.25">
      <c r="A1" s="6" t="s">
        <v>420</v>
      </c>
      <c r="B1" s="12" t="s">
        <v>421</v>
      </c>
      <c r="E1" s="12" t="s">
        <v>417</v>
      </c>
      <c r="H1" s="12" t="s">
        <v>418</v>
      </c>
      <c r="K1" s="12" t="s">
        <v>419</v>
      </c>
    </row>
    <row r="2" spans="1:12" x14ac:dyDescent="0.25">
      <c r="A2" t="str">
        <f>IFERROR(VLOOKUP(ServiceType!B3,E2:F6,2,FALSE),"")</f>
        <v/>
      </c>
      <c r="B2" t="str">
        <f>IF(ServiceType!B3="Quote-Divorce","English/Welsh",IF(ServiceType!B3="Quote-Death-in-Service","Yes",""))</f>
        <v/>
      </c>
      <c r="E2" t="s">
        <v>191</v>
      </c>
      <c r="F2" s="12" t="s">
        <v>415</v>
      </c>
      <c r="H2" s="12" t="s">
        <v>191</v>
      </c>
      <c r="I2" s="12" t="s">
        <v>416</v>
      </c>
      <c r="K2" s="12" t="s">
        <v>191</v>
      </c>
      <c r="L2" s="12" t="s">
        <v>9</v>
      </c>
    </row>
    <row r="3" spans="1:12" x14ac:dyDescent="0.25">
      <c r="A3" t="str">
        <f>IFERROR(VLOOKUP(ServiceType!B3,H2:I6,2,FALSE),"")</f>
        <v/>
      </c>
      <c r="B3" t="str">
        <f>IF(ServiceType!B3="Quote-Divorce","Scottish",IF(ServiceType!B3="Quote-Death-in-Service","No",""))</f>
        <v/>
      </c>
      <c r="E3" t="s">
        <v>36</v>
      </c>
      <c r="F3" t="s">
        <v>5</v>
      </c>
      <c r="H3" s="12" t="s">
        <v>36</v>
      </c>
      <c r="I3" t="s">
        <v>4</v>
      </c>
      <c r="K3" s="12" t="s">
        <v>36</v>
      </c>
      <c r="L3" t="s">
        <v>9</v>
      </c>
    </row>
    <row r="4" spans="1:12" x14ac:dyDescent="0.25">
      <c r="A4" t="str">
        <f>IFERROR(VLOOKUP(ServiceType!B3,K2:L6,2,FALSE),"")</f>
        <v/>
      </c>
      <c r="B4" s="12" t="str">
        <f>IF(ServiceType!B3="Quote-Divorce","Unknown",IF(ServiceType!B3="Quote-Death-in-Service","Unknown",""))</f>
        <v/>
      </c>
      <c r="E4" t="s">
        <v>32</v>
      </c>
      <c r="F4" t="s">
        <v>5</v>
      </c>
      <c r="H4" s="12" t="s">
        <v>32</v>
      </c>
      <c r="I4" t="s">
        <v>4</v>
      </c>
      <c r="K4" s="12" t="s">
        <v>32</v>
      </c>
      <c r="L4" t="s">
        <v>62</v>
      </c>
    </row>
    <row r="5" spans="1:12" x14ac:dyDescent="0.25">
      <c r="E5" s="12" t="s">
        <v>156</v>
      </c>
      <c r="F5" s="12" t="s">
        <v>5</v>
      </c>
      <c r="H5" t="s">
        <v>156</v>
      </c>
      <c r="I5" t="s">
        <v>4</v>
      </c>
      <c r="K5" t="s">
        <v>156</v>
      </c>
      <c r="L5" t="s">
        <v>62</v>
      </c>
    </row>
    <row r="6" spans="1:12" x14ac:dyDescent="0.25">
      <c r="E6" s="12"/>
    </row>
    <row r="8" spans="1:12" x14ac:dyDescent="0.25">
      <c r="A8" s="264" t="s">
        <v>439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62"/>
  <sheetViews>
    <sheetView workbookViewId="0">
      <selection activeCell="B14" sqref="B14:B15"/>
    </sheetView>
  </sheetViews>
  <sheetFormatPr defaultRowHeight="15" x14ac:dyDescent="0.25"/>
  <cols>
    <col min="1" max="1" width="75.7109375" customWidth="1"/>
    <col min="2" max="2" width="105.5703125" customWidth="1"/>
    <col min="3" max="3" width="18.42578125" customWidth="1"/>
  </cols>
  <sheetData>
    <row r="1" spans="1:3" s="6" customFormat="1" x14ac:dyDescent="0.25">
      <c r="A1" s="6" t="s">
        <v>87</v>
      </c>
      <c r="B1" s="6" t="s">
        <v>88</v>
      </c>
      <c r="C1" s="6" t="s">
        <v>89</v>
      </c>
    </row>
    <row r="2" spans="1:3" x14ac:dyDescent="0.25">
      <c r="A2" t="s">
        <v>37</v>
      </c>
      <c r="B2" t="s">
        <v>178</v>
      </c>
      <c r="C2" s="1" t="s">
        <v>90</v>
      </c>
    </row>
    <row r="3" spans="1:3" x14ac:dyDescent="0.25">
      <c r="A3" t="s">
        <v>173</v>
      </c>
      <c r="B3" t="s">
        <v>175</v>
      </c>
      <c r="C3" s="1" t="s">
        <v>90</v>
      </c>
    </row>
    <row r="4" spans="1:3" x14ac:dyDescent="0.25">
      <c r="A4" t="s">
        <v>216</v>
      </c>
      <c r="B4" t="s">
        <v>176</v>
      </c>
      <c r="C4" s="1" t="s">
        <v>90</v>
      </c>
    </row>
    <row r="5" spans="1:3" x14ac:dyDescent="0.25">
      <c r="A5" t="s">
        <v>11</v>
      </c>
      <c r="B5" t="s">
        <v>72</v>
      </c>
      <c r="C5" s="1" t="str">
        <f xml:space="preserve"> IF(Request!C27 &gt; 0, Request!C27,"")</f>
        <v/>
      </c>
    </row>
    <row r="6" spans="1:3" x14ac:dyDescent="0.25">
      <c r="A6" t="s">
        <v>36</v>
      </c>
      <c r="B6" t="s">
        <v>74</v>
      </c>
      <c r="C6" s="21" t="s">
        <v>90</v>
      </c>
    </row>
    <row r="7" spans="1:3" x14ac:dyDescent="0.25">
      <c r="A7" t="s">
        <v>39</v>
      </c>
      <c r="B7" t="s">
        <v>177</v>
      </c>
      <c r="C7" s="21" t="str">
        <f xml:space="preserve"> IF(Request!C27 &gt; 0, Request!C27,"")</f>
        <v/>
      </c>
    </row>
    <row r="8" spans="1:3" x14ac:dyDescent="0.25">
      <c r="A8" t="s">
        <v>156</v>
      </c>
      <c r="B8" t="s">
        <v>75</v>
      </c>
      <c r="C8" s="21" t="str">
        <f xml:space="preserve"> IF(Request!C27 &gt; 0, Request!C27,"")</f>
        <v/>
      </c>
    </row>
    <row r="9" spans="1:3" x14ac:dyDescent="0.25">
      <c r="A9" t="s">
        <v>32</v>
      </c>
      <c r="B9" t="s">
        <v>73</v>
      </c>
      <c r="C9" s="21" t="str">
        <f xml:space="preserve"> IF(Request!C27 &gt; 0, Request!C27,"")</f>
        <v/>
      </c>
    </row>
    <row r="10" spans="1:3" x14ac:dyDescent="0.25">
      <c r="A10" t="s">
        <v>38</v>
      </c>
      <c r="B10" t="s">
        <v>76</v>
      </c>
      <c r="C10" s="1" t="s">
        <v>90</v>
      </c>
    </row>
    <row r="11" spans="1:3" x14ac:dyDescent="0.25">
      <c r="A11" t="s">
        <v>42</v>
      </c>
      <c r="B11" t="s">
        <v>78</v>
      </c>
      <c r="C11" s="1" t="str">
        <f>IF(Request!C27&gt;0,Request!C27,"")</f>
        <v/>
      </c>
    </row>
    <row r="12" spans="1:3" x14ac:dyDescent="0.25">
      <c r="A12" t="s">
        <v>77</v>
      </c>
      <c r="B12" t="s">
        <v>72</v>
      </c>
      <c r="C12" s="21" t="str">
        <f>IF(Request!C27&gt;0,Request!C27,"")</f>
        <v/>
      </c>
    </row>
    <row r="13" spans="1:3" x14ac:dyDescent="0.25">
      <c r="A13" t="s">
        <v>41</v>
      </c>
      <c r="B13" t="s">
        <v>79</v>
      </c>
      <c r="C13" s="21" t="str">
        <f>IF(Request!C27&gt;0,Request!C27,"")</f>
        <v/>
      </c>
    </row>
    <row r="14" spans="1:3" x14ac:dyDescent="0.25">
      <c r="A14" t="s">
        <v>80</v>
      </c>
      <c r="B14" t="s">
        <v>72</v>
      </c>
      <c r="C14" s="21" t="str">
        <f>IF(Request!C27&gt;0,Request!C27,"")</f>
        <v/>
      </c>
    </row>
    <row r="15" spans="1:3" x14ac:dyDescent="0.25">
      <c r="A15" t="s">
        <v>12</v>
      </c>
      <c r="B15" t="s">
        <v>79</v>
      </c>
      <c r="C15" s="21" t="str">
        <f>IF(Request!C27&gt;0,Request!C27,"")</f>
        <v/>
      </c>
    </row>
    <row r="16" spans="1:3" x14ac:dyDescent="0.25">
      <c r="A16" t="s">
        <v>81</v>
      </c>
      <c r="B16" t="s">
        <v>72</v>
      </c>
      <c r="C16" s="21" t="str">
        <f>IF(Request!C27&gt;0,Request!C27,"")</f>
        <v/>
      </c>
    </row>
    <row r="17" spans="1:3" x14ac:dyDescent="0.25">
      <c r="A17" t="s">
        <v>82</v>
      </c>
      <c r="B17" t="s">
        <v>72</v>
      </c>
      <c r="C17" s="21" t="str">
        <f>IF(Request!C27&gt;0,Request!C27,"")</f>
        <v/>
      </c>
    </row>
    <row r="18" spans="1:3" x14ac:dyDescent="0.25">
      <c r="A18" t="s">
        <v>83</v>
      </c>
      <c r="B18" t="s">
        <v>79</v>
      </c>
      <c r="C18" s="21" t="str">
        <f>IF(Request!C27&gt;0,Request!C27,"")</f>
        <v/>
      </c>
    </row>
    <row r="19" spans="1:3" x14ac:dyDescent="0.25">
      <c r="A19" t="s">
        <v>43</v>
      </c>
      <c r="B19" t="s">
        <v>78</v>
      </c>
      <c r="C19" s="21" t="str">
        <f>IF(Request!C27&gt;0,Request!C27,"")</f>
        <v/>
      </c>
    </row>
    <row r="20" spans="1:3" x14ac:dyDescent="0.25">
      <c r="A20" t="s">
        <v>84</v>
      </c>
      <c r="B20" t="s">
        <v>79</v>
      </c>
      <c r="C20" s="21" t="str">
        <f>IF(Request!C27&gt;0,Request!C27,"")</f>
        <v/>
      </c>
    </row>
    <row r="21" spans="1:3" x14ac:dyDescent="0.25">
      <c r="A21" t="s">
        <v>85</v>
      </c>
      <c r="B21" t="s">
        <v>72</v>
      </c>
      <c r="C21" s="21" t="str">
        <f>IF(Request!C27&gt;0,Request!C27,"")</f>
        <v/>
      </c>
    </row>
    <row r="22" spans="1:3" x14ac:dyDescent="0.25">
      <c r="A22" t="s">
        <v>86</v>
      </c>
      <c r="B22" t="s">
        <v>72</v>
      </c>
      <c r="C22" s="21" t="str">
        <f>IF(Request!C27&gt;0,Request!C27,"")</f>
        <v/>
      </c>
    </row>
    <row r="23" spans="1:3" x14ac:dyDescent="0.25">
      <c r="A23" t="s">
        <v>191</v>
      </c>
      <c r="B23" t="s">
        <v>192</v>
      </c>
      <c r="C23" s="21" t="s">
        <v>90</v>
      </c>
    </row>
    <row r="24" spans="1:3" x14ac:dyDescent="0.25">
      <c r="A24" t="s">
        <v>204</v>
      </c>
      <c r="B24" t="s">
        <v>72</v>
      </c>
      <c r="C24" s="21" t="str">
        <f>IF(Request!C27&gt;0,Request!C27,"")</f>
        <v/>
      </c>
    </row>
    <row r="25" spans="1:3" x14ac:dyDescent="0.25">
      <c r="A25" t="s">
        <v>205</v>
      </c>
      <c r="B25" s="12" t="s">
        <v>79</v>
      </c>
      <c r="C25" s="21" t="str">
        <f>IF(Request!C27&gt;0,Request!C27,"")</f>
        <v/>
      </c>
    </row>
    <row r="26" spans="1:3" x14ac:dyDescent="0.25">
      <c r="A26" t="s">
        <v>206</v>
      </c>
      <c r="B26" s="12" t="s">
        <v>213</v>
      </c>
      <c r="C26" s="21" t="str">
        <f>IF(Request!C27&gt;0,Request!C27,"")</f>
        <v/>
      </c>
    </row>
    <row r="27" spans="1:3" x14ac:dyDescent="0.25">
      <c r="A27" t="s">
        <v>207</v>
      </c>
      <c r="B27" s="12" t="s">
        <v>72</v>
      </c>
      <c r="C27" s="21" t="str">
        <f>IF(Request!C27&gt;0,Request!C27,"")</f>
        <v/>
      </c>
    </row>
    <row r="28" spans="1:3" x14ac:dyDescent="0.25">
      <c r="A28" t="s">
        <v>362</v>
      </c>
      <c r="B28" t="s">
        <v>405</v>
      </c>
      <c r="C28" s="21" t="str">
        <f>IF(Request!C27&gt;0,Request!C27,"")</f>
        <v/>
      </c>
    </row>
    <row r="30" spans="1:3" s="12" customFormat="1" x14ac:dyDescent="0.25"/>
    <row r="31" spans="1:3" s="264" customFormat="1" x14ac:dyDescent="0.25"/>
    <row r="32" spans="1:3" s="264" customFormat="1" x14ac:dyDescent="0.25">
      <c r="A32" s="264" t="s">
        <v>442</v>
      </c>
    </row>
    <row r="33" spans="1:1" s="264" customFormat="1" x14ac:dyDescent="0.25"/>
    <row r="34" spans="1:1" s="264" customFormat="1" x14ac:dyDescent="0.25">
      <c r="A34" s="264" t="s">
        <v>443</v>
      </c>
    </row>
    <row r="35" spans="1:1" s="264" customFormat="1" x14ac:dyDescent="0.25"/>
    <row r="36" spans="1:1" s="264" customFormat="1" x14ac:dyDescent="0.25">
      <c r="A36" s="264" t="s">
        <v>466</v>
      </c>
    </row>
    <row r="37" spans="1:1" s="264" customFormat="1" x14ac:dyDescent="0.25"/>
    <row r="38" spans="1:1" s="264" customFormat="1" x14ac:dyDescent="0.25">
      <c r="A38" s="264" t="s">
        <v>444</v>
      </c>
    </row>
    <row r="39" spans="1:1" s="12" customFormat="1" x14ac:dyDescent="0.25"/>
    <row r="40" spans="1:1" s="12" customFormat="1" x14ac:dyDescent="0.25">
      <c r="A40" s="264" t="s">
        <v>445</v>
      </c>
    </row>
    <row r="41" spans="1:1" s="12" customFormat="1" x14ac:dyDescent="0.25"/>
    <row r="42" spans="1:1" s="12" customFormat="1" x14ac:dyDescent="0.25"/>
    <row r="43" spans="1:1" s="12" customFormat="1" x14ac:dyDescent="0.25"/>
    <row r="44" spans="1:1" s="12" customFormat="1" x14ac:dyDescent="0.25"/>
    <row r="45" spans="1:1" s="12" customFormat="1" x14ac:dyDescent="0.25"/>
    <row r="46" spans="1:1" s="12" customFormat="1" x14ac:dyDescent="0.25"/>
    <row r="47" spans="1:1" s="12" customFormat="1" x14ac:dyDescent="0.25"/>
    <row r="50" spans="1:2" x14ac:dyDescent="0.25">
      <c r="A50" t="s">
        <v>441</v>
      </c>
    </row>
    <row r="51" spans="1:2" x14ac:dyDescent="0.25">
      <c r="A51" t="s">
        <v>11</v>
      </c>
      <c r="B51" t="s">
        <v>16</v>
      </c>
    </row>
    <row r="52" spans="1:2" x14ac:dyDescent="0.25">
      <c r="A52" t="s">
        <v>18</v>
      </c>
      <c r="B52" t="s">
        <v>16</v>
      </c>
    </row>
    <row r="53" spans="1:2" x14ac:dyDescent="0.25">
      <c r="A53" t="s">
        <v>12</v>
      </c>
      <c r="B53" t="s">
        <v>23</v>
      </c>
    </row>
    <row r="54" spans="1:2" x14ac:dyDescent="0.25">
      <c r="A54" t="s">
        <v>19</v>
      </c>
      <c r="B54" t="s">
        <v>16</v>
      </c>
    </row>
    <row r="55" spans="1:2" x14ac:dyDescent="0.25">
      <c r="A55" t="s">
        <v>13</v>
      </c>
      <c r="B55" t="s">
        <v>24</v>
      </c>
    </row>
    <row r="56" spans="1:2" x14ac:dyDescent="0.25">
      <c r="A56" t="s">
        <v>20</v>
      </c>
      <c r="B56" t="s">
        <v>21</v>
      </c>
    </row>
    <row r="57" spans="1:2" x14ac:dyDescent="0.25">
      <c r="A57" t="s">
        <v>14</v>
      </c>
      <c r="B57" t="s">
        <v>25</v>
      </c>
    </row>
    <row r="58" spans="1:2" x14ac:dyDescent="0.25">
      <c r="A58" t="s">
        <v>15</v>
      </c>
      <c r="B58" t="s">
        <v>16</v>
      </c>
    </row>
    <row r="59" spans="1:2" x14ac:dyDescent="0.25">
      <c r="A59" t="s">
        <v>30</v>
      </c>
      <c r="B59" t="s">
        <v>25</v>
      </c>
    </row>
    <row r="60" spans="1:2" x14ac:dyDescent="0.25">
      <c r="A60" t="s">
        <v>31</v>
      </c>
      <c r="B60" t="s">
        <v>16</v>
      </c>
    </row>
    <row r="61" spans="1:2" x14ac:dyDescent="0.25">
      <c r="A61" t="s">
        <v>32</v>
      </c>
      <c r="B61" t="s">
        <v>33</v>
      </c>
    </row>
    <row r="62" spans="1:2" x14ac:dyDescent="0.25">
      <c r="A62" t="s">
        <v>34</v>
      </c>
      <c r="B62" t="s">
        <v>33</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H44"/>
  <sheetViews>
    <sheetView workbookViewId="0">
      <selection activeCell="B14" sqref="B14:B15"/>
    </sheetView>
  </sheetViews>
  <sheetFormatPr defaultRowHeight="15" x14ac:dyDescent="0.25"/>
  <cols>
    <col min="1" max="1" width="73.85546875" customWidth="1"/>
    <col min="2" max="2" width="38.5703125" customWidth="1"/>
    <col min="3" max="3" width="18.7109375" customWidth="1"/>
    <col min="4" max="4" width="27.140625" style="6" customWidth="1"/>
    <col min="6" max="6" width="6.5703125" customWidth="1"/>
    <col min="7" max="7" width="19" customWidth="1"/>
  </cols>
  <sheetData>
    <row r="2" spans="1:8" x14ac:dyDescent="0.25">
      <c r="A2" t="s">
        <v>29</v>
      </c>
      <c r="B2" s="1">
        <f>Request!C27</f>
        <v>0</v>
      </c>
    </row>
    <row r="3" spans="1:8" x14ac:dyDescent="0.25">
      <c r="A3" t="s">
        <v>393</v>
      </c>
      <c r="B3" s="1" t="e">
        <f>NRD!C15 -1</f>
        <v>#N/A</v>
      </c>
    </row>
    <row r="4" spans="1:8" x14ac:dyDescent="0.25">
      <c r="A4" t="s">
        <v>394</v>
      </c>
      <c r="B4" t="e">
        <f>IF(B2&gt;=B3,1,0)</f>
        <v>#N/A</v>
      </c>
    </row>
    <row r="5" spans="1:8" ht="30" x14ac:dyDescent="0.25">
      <c r="A5" t="s">
        <v>473</v>
      </c>
      <c r="B5">
        <f>IF(Request!C107="Yes",1,0)</f>
        <v>0</v>
      </c>
      <c r="C5" t="str">
        <f>IF(B5&gt;0,"P","")</f>
        <v/>
      </c>
      <c r="D5" s="5" t="s">
        <v>203</v>
      </c>
      <c r="E5">
        <f>IF(Request!C107="Unknown",1,0)</f>
        <v>0</v>
      </c>
      <c r="F5" t="str">
        <f>IF(E5&gt;0,"U","")</f>
        <v/>
      </c>
      <c r="G5" s="2" t="s">
        <v>472</v>
      </c>
      <c r="H5" t="str">
        <f>IF(B5+E5=0, "", C5 &amp; F5)</f>
        <v/>
      </c>
    </row>
    <row r="6" spans="1:8" x14ac:dyDescent="0.25">
      <c r="A6" t="s">
        <v>17</v>
      </c>
      <c r="B6">
        <v>0</v>
      </c>
    </row>
    <row r="7" spans="1:8" x14ac:dyDescent="0.25">
      <c r="A7" t="s">
        <v>17</v>
      </c>
      <c r="B7">
        <v>0</v>
      </c>
    </row>
    <row r="8" spans="1:8" hidden="1" x14ac:dyDescent="0.25">
      <c r="B8" t="e">
        <f>SUM(B4:B7)</f>
        <v>#N/A</v>
      </c>
    </row>
    <row r="9" spans="1:8" hidden="1" x14ac:dyDescent="0.25"/>
    <row r="10" spans="1:8" hidden="1" x14ac:dyDescent="0.25">
      <c r="A10" t="s">
        <v>22</v>
      </c>
      <c r="B10" t="e">
        <f>IF(B8&gt;0,"Y","")</f>
        <v>#N/A</v>
      </c>
    </row>
    <row r="11" spans="1:8" hidden="1" x14ac:dyDescent="0.25"/>
    <row r="12" spans="1:8" hidden="1" x14ac:dyDescent="0.25"/>
    <row r="14" spans="1:8" x14ac:dyDescent="0.25">
      <c r="A14" t="s">
        <v>70</v>
      </c>
      <c r="B14" t="str">
        <f>ServiceType!B3</f>
        <v/>
      </c>
    </row>
    <row r="16" spans="1:8" x14ac:dyDescent="0.25">
      <c r="A16" t="s">
        <v>71</v>
      </c>
      <c r="B16" t="e">
        <f>VLOOKUP(ServiceType!B3,CTIcriteria!A20:H41,8,FALSE)</f>
        <v>#N/A</v>
      </c>
    </row>
    <row r="18" spans="1:8" ht="30" x14ac:dyDescent="0.25">
      <c r="B18" s="300" t="s">
        <v>215</v>
      </c>
      <c r="C18" s="318" t="s">
        <v>446</v>
      </c>
      <c r="D18" s="315" t="s">
        <v>69</v>
      </c>
    </row>
    <row r="19" spans="1:8" x14ac:dyDescent="0.25">
      <c r="B19" s="301"/>
      <c r="C19" s="298"/>
      <c r="D19" s="316"/>
    </row>
    <row r="20" spans="1:8" x14ac:dyDescent="0.25">
      <c r="A20" t="s">
        <v>42</v>
      </c>
      <c r="B20" s="301" t="e">
        <f>IF(B4&gt;0,"N","")</f>
        <v>#N/A</v>
      </c>
      <c r="C20" s="298"/>
      <c r="D20" s="316" t="e">
        <f>B20 &amp; C20</f>
        <v>#N/A</v>
      </c>
      <c r="E20" t="s">
        <v>68</v>
      </c>
      <c r="H20" t="e">
        <f>D20 &amp; A20</f>
        <v>#N/A</v>
      </c>
    </row>
    <row r="21" spans="1:8" x14ac:dyDescent="0.25">
      <c r="A21" t="s">
        <v>41</v>
      </c>
      <c r="B21" s="301" t="e">
        <f>IF(B4&gt;0,"N","")</f>
        <v>#N/A</v>
      </c>
      <c r="C21" s="298"/>
      <c r="D21" s="316" t="e">
        <f>B21 &amp; C21</f>
        <v>#N/A</v>
      </c>
      <c r="E21" t="s">
        <v>68</v>
      </c>
      <c r="H21" t="e">
        <f>D21 &amp; A21</f>
        <v>#N/A</v>
      </c>
    </row>
    <row r="22" spans="1:8" x14ac:dyDescent="0.25">
      <c r="A22" t="s">
        <v>12</v>
      </c>
      <c r="B22" s="301" t="e">
        <f>IF(B4&gt;0,"N","")</f>
        <v>#N/A</v>
      </c>
      <c r="C22" s="298" t="str">
        <f>H5</f>
        <v/>
      </c>
      <c r="D22" s="316" t="e">
        <f t="shared" ref="D22:D23" si="0">B22 &amp; C22</f>
        <v>#N/A</v>
      </c>
      <c r="E22" t="s">
        <v>385</v>
      </c>
      <c r="H22" t="e">
        <f>D22 &amp; A22</f>
        <v>#N/A</v>
      </c>
    </row>
    <row r="23" spans="1:8" x14ac:dyDescent="0.25">
      <c r="A23" t="s">
        <v>43</v>
      </c>
      <c r="B23" s="302" t="e">
        <f>IF(B4&gt;0,"N","")</f>
        <v>#N/A</v>
      </c>
      <c r="C23" s="299" t="str">
        <f>H5</f>
        <v/>
      </c>
      <c r="D23" s="317" t="e">
        <f t="shared" si="0"/>
        <v>#N/A</v>
      </c>
      <c r="E23" t="s">
        <v>385</v>
      </c>
      <c r="H23" t="e">
        <f>D23 &amp; A23</f>
        <v>#N/A</v>
      </c>
    </row>
    <row r="24" spans="1:8" x14ac:dyDescent="0.25">
      <c r="A24" t="s">
        <v>37</v>
      </c>
      <c r="H24" t="str">
        <f t="shared" ref="H24:H34" si="1">D24 &amp; A24</f>
        <v>Estimate-Death</v>
      </c>
    </row>
    <row r="25" spans="1:8" x14ac:dyDescent="0.25">
      <c r="A25" t="s">
        <v>173</v>
      </c>
      <c r="H25" t="str">
        <f t="shared" si="1"/>
        <v>Estimate-Efficiency Dismissal (with compensation)</v>
      </c>
    </row>
    <row r="26" spans="1:8" x14ac:dyDescent="0.25">
      <c r="A26" t="s">
        <v>216</v>
      </c>
      <c r="H26" t="str">
        <f t="shared" si="1"/>
        <v>Estimate-Ill Health Retirement</v>
      </c>
    </row>
    <row r="27" spans="1:8" x14ac:dyDescent="0.25">
      <c r="A27" t="s">
        <v>11</v>
      </c>
      <c r="H27" t="str">
        <f t="shared" si="1"/>
        <v>Quote-Age Retirement</v>
      </c>
    </row>
    <row r="28" spans="1:8" x14ac:dyDescent="0.25">
      <c r="A28" t="s">
        <v>36</v>
      </c>
      <c r="H28" t="str">
        <f t="shared" si="1"/>
        <v>Quote-Death-in-Service</v>
      </c>
    </row>
    <row r="29" spans="1:8" x14ac:dyDescent="0.25">
      <c r="A29" t="s">
        <v>39</v>
      </c>
      <c r="H29" t="str">
        <f t="shared" si="1"/>
        <v>Quote-Early Retirement (ARR)</v>
      </c>
    </row>
    <row r="30" spans="1:8" x14ac:dyDescent="0.25">
      <c r="A30" t="s">
        <v>156</v>
      </c>
      <c r="H30" t="str">
        <f t="shared" si="1"/>
        <v>Quote-Efficiency Dismissal (with compensation)</v>
      </c>
    </row>
    <row r="31" spans="1:8" x14ac:dyDescent="0.25">
      <c r="A31" t="s">
        <v>40</v>
      </c>
      <c r="H31" t="str">
        <f t="shared" si="1"/>
        <v>Quote-Efficiency Dismissal (no compensation)</v>
      </c>
    </row>
    <row r="32" spans="1:8" x14ac:dyDescent="0.25">
      <c r="A32" t="s">
        <v>32</v>
      </c>
      <c r="H32" t="str">
        <f t="shared" si="1"/>
        <v>Quote-Ill Health Retirement</v>
      </c>
    </row>
    <row r="33" spans="1:8" x14ac:dyDescent="0.25">
      <c r="A33" t="s">
        <v>38</v>
      </c>
      <c r="H33" t="str">
        <f t="shared" si="1"/>
        <v>Sick Pay at Pension Rate</v>
      </c>
    </row>
    <row r="34" spans="1:8" x14ac:dyDescent="0.25">
      <c r="A34" t="s">
        <v>191</v>
      </c>
      <c r="H34" t="str">
        <f t="shared" si="1"/>
        <v>Quote-Divorce</v>
      </c>
    </row>
    <row r="35" spans="1:8" x14ac:dyDescent="0.25">
      <c r="A35" t="s">
        <v>362</v>
      </c>
      <c r="H35" t="s">
        <v>362</v>
      </c>
    </row>
    <row r="37" spans="1:8" x14ac:dyDescent="0.25">
      <c r="A37" s="264" t="s">
        <v>431</v>
      </c>
    </row>
    <row r="38" spans="1:8" s="12" customFormat="1" x14ac:dyDescent="0.25">
      <c r="A38" s="264"/>
      <c r="D38" s="6"/>
    </row>
    <row r="39" spans="1:8" x14ac:dyDescent="0.25">
      <c r="A39" s="264" t="s">
        <v>383</v>
      </c>
    </row>
    <row r="40" spans="1:8" x14ac:dyDescent="0.25">
      <c r="A40" s="264" t="s">
        <v>384</v>
      </c>
    </row>
    <row r="41" spans="1:8" x14ac:dyDescent="0.25">
      <c r="A41" s="264"/>
    </row>
    <row r="42" spans="1:8" x14ac:dyDescent="0.25">
      <c r="A42" s="264" t="s">
        <v>440</v>
      </c>
    </row>
    <row r="43" spans="1:8" x14ac:dyDescent="0.25">
      <c r="A43" s="264"/>
    </row>
    <row r="44" spans="1:8" x14ac:dyDescent="0.25">
      <c r="A44" s="264" t="s">
        <v>386</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24"/>
  <sheetViews>
    <sheetView workbookViewId="0">
      <selection activeCell="B14" sqref="B14:B15"/>
    </sheetView>
  </sheetViews>
  <sheetFormatPr defaultRowHeight="15" x14ac:dyDescent="0.25"/>
  <cols>
    <col min="1" max="1" width="29.7109375" customWidth="1"/>
    <col min="2" max="2" width="15.5703125" customWidth="1"/>
    <col min="3" max="3" width="16.42578125" style="12" customWidth="1"/>
    <col min="4" max="4" width="15.7109375" customWidth="1"/>
    <col min="5" max="5" width="16.7109375" customWidth="1"/>
    <col min="7" max="7" width="19.5703125" customWidth="1"/>
    <col min="8" max="8" width="10.7109375" bestFit="1" customWidth="1"/>
  </cols>
  <sheetData>
    <row r="1" spans="1:8" x14ac:dyDescent="0.25">
      <c r="A1" t="s">
        <v>26</v>
      </c>
      <c r="B1" t="s">
        <v>45</v>
      </c>
      <c r="C1" s="12" t="s">
        <v>169</v>
      </c>
      <c r="D1" t="s">
        <v>63</v>
      </c>
      <c r="E1" t="s">
        <v>170</v>
      </c>
      <c r="G1" t="s">
        <v>344</v>
      </c>
      <c r="H1" t="s">
        <v>371</v>
      </c>
    </row>
    <row r="2" spans="1:8" x14ac:dyDescent="0.25">
      <c r="A2" t="s">
        <v>1</v>
      </c>
      <c r="B2">
        <v>60</v>
      </c>
      <c r="C2" s="21">
        <f>DATE(YEAR(B16) +B2, MONTH(B16), DAY(B16))</f>
        <v>21915</v>
      </c>
      <c r="D2">
        <v>50</v>
      </c>
      <c r="E2" s="21">
        <f>DATE(YEAR(B16) +D2, MONTH(B16), DAY(B16))</f>
        <v>18263</v>
      </c>
    </row>
    <row r="3" spans="1:8" x14ac:dyDescent="0.25">
      <c r="A3" t="s">
        <v>2</v>
      </c>
      <c r="B3">
        <v>60</v>
      </c>
      <c r="C3" s="21">
        <f>DATE(YEAR(B16) +B3, MONTH(B16), DAY(B16))</f>
        <v>21915</v>
      </c>
      <c r="D3">
        <v>50</v>
      </c>
      <c r="E3" s="21">
        <f>DATE(YEAR(B16) +D3, MONTH(B16), DAY(B16))</f>
        <v>18263</v>
      </c>
    </row>
    <row r="4" spans="1:8" x14ac:dyDescent="0.25">
      <c r="A4" t="s">
        <v>3</v>
      </c>
      <c r="B4">
        <v>60</v>
      </c>
      <c r="C4" s="21">
        <f>DATE(YEAR(B16) +B4, MONTH(B16), DAY(B16))</f>
        <v>21915</v>
      </c>
      <c r="D4">
        <v>50</v>
      </c>
      <c r="E4" s="21">
        <f>DATE(YEAR(B16) +D4, MONTH(B16), DAY(B16))</f>
        <v>18263</v>
      </c>
    </row>
    <row r="5" spans="1:8" x14ac:dyDescent="0.25">
      <c r="A5" t="s">
        <v>6</v>
      </c>
      <c r="B5">
        <v>65</v>
      </c>
      <c r="C5" s="21">
        <f>DATE(YEAR(B16) +B5, MONTH(B16), DAY(B16))</f>
        <v>23742</v>
      </c>
      <c r="D5">
        <v>55</v>
      </c>
      <c r="E5" s="21">
        <f>DATE(YEAR(B16) +D5, MONTH(B16), DAY(B16))</f>
        <v>20089</v>
      </c>
    </row>
    <row r="6" spans="1:8" x14ac:dyDescent="0.25">
      <c r="A6" t="s">
        <v>35</v>
      </c>
      <c r="B6" t="s">
        <v>373</v>
      </c>
      <c r="C6" s="21">
        <f>AlphaNRD!E3</f>
        <v>23742</v>
      </c>
      <c r="D6">
        <v>50</v>
      </c>
      <c r="E6" s="21">
        <f>DATE(YEAR(B16) +D6, MONTH(B16), DAY(B16))</f>
        <v>18263</v>
      </c>
      <c r="G6">
        <v>55</v>
      </c>
      <c r="H6" s="21">
        <f>DATE(YEAR(B16) +G6, MONTH(B16), DAY(B16))</f>
        <v>20089</v>
      </c>
    </row>
    <row r="7" spans="1:8" x14ac:dyDescent="0.25">
      <c r="A7" t="s">
        <v>64</v>
      </c>
      <c r="B7" s="12" t="s">
        <v>373</v>
      </c>
      <c r="C7" s="21">
        <f>AlphaNRD!E3</f>
        <v>23742</v>
      </c>
      <c r="D7">
        <v>50</v>
      </c>
      <c r="E7" s="21">
        <f>DATE(YEAR(B16) +D7, MONTH(B16), DAY(B16))</f>
        <v>18263</v>
      </c>
      <c r="H7" s="21"/>
    </row>
    <row r="8" spans="1:8" x14ac:dyDescent="0.25">
      <c r="A8" t="s">
        <v>65</v>
      </c>
      <c r="B8" s="12" t="s">
        <v>373</v>
      </c>
      <c r="C8" s="21">
        <f>AlphaNRD!E3</f>
        <v>23742</v>
      </c>
      <c r="D8">
        <v>50</v>
      </c>
      <c r="E8" s="21">
        <f>DATE(YEAR(B16) +D8, MONTH(B16), DAY(B16))</f>
        <v>18263</v>
      </c>
    </row>
    <row r="9" spans="1:8" x14ac:dyDescent="0.25">
      <c r="A9" t="s">
        <v>66</v>
      </c>
      <c r="B9" s="12" t="s">
        <v>373</v>
      </c>
      <c r="C9" s="21">
        <f>AlphaNRD!E3</f>
        <v>23742</v>
      </c>
      <c r="D9">
        <v>50</v>
      </c>
      <c r="E9" s="21">
        <f>DATE(YEAR(B16) +D9, MONTH(B16), DAY(B16))</f>
        <v>18263</v>
      </c>
    </row>
    <row r="10" spans="1:8" x14ac:dyDescent="0.25">
      <c r="A10" t="s">
        <v>67</v>
      </c>
      <c r="B10" s="12" t="s">
        <v>373</v>
      </c>
      <c r="C10" s="21">
        <f>AlphaNRD!E3</f>
        <v>23742</v>
      </c>
      <c r="D10">
        <v>55</v>
      </c>
      <c r="E10" s="21">
        <f>DATE(YEAR(B16) +D10, MONTH(B16), DAY(B16))</f>
        <v>20089</v>
      </c>
    </row>
    <row r="11" spans="1:8" s="12" customFormat="1" x14ac:dyDescent="0.25">
      <c r="C11" s="21"/>
      <c r="E11" s="21"/>
    </row>
    <row r="12" spans="1:8" s="12" customFormat="1" x14ac:dyDescent="0.25">
      <c r="C12" s="21"/>
      <c r="E12" s="21"/>
    </row>
    <row r="14" spans="1:8" x14ac:dyDescent="0.25">
      <c r="A14" t="s">
        <v>28</v>
      </c>
      <c r="B14" t="e">
        <f>VLOOKUP(Request!C59,NRD!A2:B13,2,FALSE)</f>
        <v>#N/A</v>
      </c>
    </row>
    <row r="15" spans="1:8" x14ac:dyDescent="0.25">
      <c r="A15" t="s">
        <v>27</v>
      </c>
      <c r="B15" s="1">
        <f>Request!C51 + (365.25 * 60)</f>
        <v>21915</v>
      </c>
      <c r="C15" s="21" t="e">
        <f>VLOOKUP(Request!C59,NRD!A2:C10,3,FALSE)</f>
        <v>#N/A</v>
      </c>
    </row>
    <row r="16" spans="1:8" x14ac:dyDescent="0.25">
      <c r="A16" t="s">
        <v>60</v>
      </c>
      <c r="B16" s="21">
        <f>Request!C51</f>
        <v>0</v>
      </c>
    </row>
    <row r="18" spans="1:5" s="12" customFormat="1" x14ac:dyDescent="0.25">
      <c r="A18" s="264" t="s">
        <v>406</v>
      </c>
      <c r="C18" s="21"/>
      <c r="E18" s="21"/>
    </row>
    <row r="19" spans="1:5" s="12" customFormat="1" x14ac:dyDescent="0.25">
      <c r="A19" s="264"/>
      <c r="C19" s="21"/>
      <c r="E19" s="21"/>
    </row>
    <row r="20" spans="1:5" s="12" customFormat="1" x14ac:dyDescent="0.25">
      <c r="A20" s="264" t="s">
        <v>374</v>
      </c>
      <c r="C20" s="21"/>
      <c r="E20" s="21"/>
    </row>
    <row r="21" spans="1:5" s="12" customFormat="1" x14ac:dyDescent="0.25">
      <c r="A21" s="264"/>
      <c r="C21" s="21"/>
      <c r="E21" s="21"/>
    </row>
    <row r="22" spans="1:5" s="12" customFormat="1" x14ac:dyDescent="0.25">
      <c r="A22" s="264" t="s">
        <v>375</v>
      </c>
      <c r="C22" s="21"/>
      <c r="E22" s="21"/>
    </row>
    <row r="24" spans="1:5" x14ac:dyDescent="0.25">
      <c r="A24" s="264" t="s">
        <v>407</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40"/>
  <sheetViews>
    <sheetView workbookViewId="0">
      <selection activeCell="B14" sqref="B14:B15"/>
    </sheetView>
  </sheetViews>
  <sheetFormatPr defaultRowHeight="15" x14ac:dyDescent="0.25"/>
  <cols>
    <col min="1" max="1" width="15.140625" bestFit="1" customWidth="1"/>
    <col min="2" max="2" width="28.7109375" customWidth="1"/>
    <col min="3" max="3" width="7" customWidth="1"/>
    <col min="4" max="4" width="13.140625" bestFit="1" customWidth="1"/>
    <col min="5" max="5" width="14" customWidth="1"/>
    <col min="7" max="7" width="13.140625" bestFit="1" customWidth="1"/>
    <col min="8" max="8" width="37" customWidth="1"/>
    <col min="9" max="9" width="22" customWidth="1"/>
    <col min="10" max="10" width="15.140625" customWidth="1"/>
    <col min="11" max="11" width="14.28515625" customWidth="1"/>
    <col min="12" max="12" width="10.7109375" customWidth="1"/>
  </cols>
  <sheetData>
    <row r="1" spans="1:14" x14ac:dyDescent="0.25">
      <c r="H1" s="6" t="s">
        <v>470</v>
      </c>
      <c r="I1" s="6" t="s">
        <v>471</v>
      </c>
      <c r="J1" s="6"/>
      <c r="K1" s="6"/>
      <c r="L1" s="6"/>
      <c r="M1" s="5" t="s">
        <v>469</v>
      </c>
    </row>
    <row r="2" spans="1:14" x14ac:dyDescent="0.25">
      <c r="A2" s="12" t="s">
        <v>60</v>
      </c>
      <c r="B2" s="21">
        <f>Request!C51</f>
        <v>0</v>
      </c>
      <c r="C2" s="12"/>
      <c r="D2" s="6" t="s">
        <v>160</v>
      </c>
      <c r="E2" s="22">
        <f>MAX(H2:I2)</f>
        <v>0</v>
      </c>
      <c r="F2" s="12"/>
      <c r="G2" s="12"/>
      <c r="H2" s="314">
        <f>IF(AND(DOB&gt;=DATE(1977,4,6),DOB&lt;=DATE(1978,4,5)),VLOOKUP(DOB,J7:K19,2,TRUE),
          IF(AND(DOB&gt;=DATE(1960,4,6),DOB&lt;=DATE(1961,3,5)),VLOOKUP(DOB,G7:H400,2,TRUE),
                IF(AND(DOB&gt;=DATE(1953,12,6),DOB&lt;=DATE(1954,10,5)),VLOOKUP(DOB,D7:E17,2,TRUE),
                       IF(AND(Sex="F",DOB&gt;=DATE(1950,4,6),DOB&lt;=DATE(1953,12,5)),VLOOKUP(DOB,A7:B50,2,TRUE),
                        0)
                    )
              )
   )</f>
        <v>0</v>
      </c>
      <c r="I2" s="314">
        <f>IF(DOB&gt;DATE(1978,4,5),DATE(YEAR(DOB)+68,MONTH(DOB),DAY(DOB)),
            IF(AND(DOB&gt;DATE(1961,3,5),DOB&lt;DATE(1977,4,6)),DATE(YEAR(DOB)+67,MONTH(DOB),DAY(DOB)),
                     IF(AND(DOB&gt;DATE(1954,10,5),DOB&lt;DATE(1960,4,6)),DATE(YEAR(DOB)+66,MONTH(DOB),DAY(DOB)),
                             IF(AND(Sex="F",DOB&lt;DATE(1950,4,6)),DATE(YEAR(DOB)+60,MONTH(DOB),DAY(DOB)),
                                     IF(AND(Sex="M",DOB&lt;DATE(1953,12,6)),DATE(YEAR(DOB)+65,MONTH(DOB),DAY(DOB)),
                                      0)
                                 )
                          )
                 )
      )</f>
        <v>0</v>
      </c>
      <c r="J2" s="21"/>
      <c r="K2" s="21"/>
      <c r="L2" s="21"/>
      <c r="M2" s="21" t="str">
        <f>IF(DOB&gt;DATE(1978,4,5),DATE(YEAR(DOB)+68,MONTH(DOB),DAY(DOB)),
       IF(AND(DOB&gt;=DATE(1977,4,6),DOB&lt;=DATE(1978,4,5)),VLOOKUP(DOB,J7:K19,2,TRUE),
            IF(AND(DOB&gt;DATE(1961,3,5),DOB&lt;DATE(1977,4,6)),DATE(YEAR(DOB)+67,MONTH(DOB),DAY(DOB)),
                 IF(AND(DOB&gt;=DATE(1960,4,6),DOB&lt;=DATE(1961,3,5)),VLOOKUP(DOB,G7:H400,2,TRUE),
                     IF(AND(DOB&gt;DATE(1954,10,5),DOB&lt;DATE(1960,4,6)),DATE(YEAR(DOB)+66,MONTH(DOB),DAY(DOB)),
                         IF(AND(DOB&gt;=DATE(1953,12,6),DOB&lt;=DATE(1954,10,5)),VLOOKUP(DOB,D7:E17,2,TRUE),
                             IF(AND(Sex="F",DOB&gt;=DATE(1950,4,6),DOB&lt;=DATE(1953,12,5)),VLOOKUP(DOB,A7:B50,2,TRUE),
                                 IF(AND(Sex="F",DOB&lt;DATE(1950,4,6)),DATE(YEAR(DOB)+60,MONTH(DOB),DAY(DOB)),
                                     IF(AND(Sex="M",DOB&lt;DATE(1953,12,6)),DATE(YEAR(DOB)+65,MONTH(DOB),DAY(DOB)),
                                     "LookElsewhere")
                                 )
                             )
                         )
                     )
                 )
            )
       )
   )</f>
        <v>LookElsewhere</v>
      </c>
      <c r="N2" s="12"/>
    </row>
    <row r="3" spans="1:14" x14ac:dyDescent="0.25">
      <c r="A3" s="12" t="s">
        <v>161</v>
      </c>
      <c r="B3" s="12" t="str">
        <f>LEFT(Request!C63,1)</f>
        <v/>
      </c>
      <c r="C3" s="12"/>
      <c r="D3" s="6" t="s">
        <v>162</v>
      </c>
      <c r="E3" s="22">
        <f>IF(YEAR(SPD)-YEAR(DOB)&lt;65,DATE(YEAR(DOB)+65,MONTH(DOB),DAY(DOB)),SPD)</f>
        <v>23742</v>
      </c>
      <c r="F3" s="12"/>
      <c r="G3" s="12"/>
      <c r="H3" s="12"/>
      <c r="I3" s="12"/>
      <c r="J3" s="12"/>
      <c r="K3" s="12"/>
    </row>
    <row r="5" spans="1:14" x14ac:dyDescent="0.25">
      <c r="A5" s="13" t="s">
        <v>163</v>
      </c>
      <c r="B5" s="13" t="s">
        <v>164</v>
      </c>
      <c r="C5" s="13"/>
      <c r="D5" s="13"/>
      <c r="E5" s="13"/>
      <c r="F5" s="13"/>
      <c r="G5" s="13"/>
      <c r="H5" s="13"/>
      <c r="I5" s="13"/>
      <c r="J5" s="13"/>
      <c r="K5" s="13"/>
    </row>
    <row r="6" spans="1:14" x14ac:dyDescent="0.25">
      <c r="A6" s="14" t="s">
        <v>165</v>
      </c>
      <c r="B6" s="15"/>
      <c r="C6" s="16"/>
      <c r="D6" s="14" t="s">
        <v>166</v>
      </c>
      <c r="E6" s="13"/>
      <c r="F6" s="13"/>
      <c r="G6" s="14" t="s">
        <v>167</v>
      </c>
      <c r="H6" s="13"/>
      <c r="I6" s="13"/>
      <c r="J6" s="14" t="s">
        <v>168</v>
      </c>
      <c r="K6" s="13"/>
    </row>
    <row r="7" spans="1:14" x14ac:dyDescent="0.25">
      <c r="A7" s="17">
        <v>18359</v>
      </c>
      <c r="B7" s="18">
        <v>40304</v>
      </c>
      <c r="C7" s="16"/>
      <c r="D7" s="17">
        <v>19699</v>
      </c>
      <c r="E7" s="17">
        <v>43530</v>
      </c>
      <c r="F7" s="13"/>
      <c r="G7" s="17">
        <v>22012</v>
      </c>
      <c r="H7" s="17">
        <v>46148</v>
      </c>
      <c r="I7" s="13"/>
      <c r="J7" s="17">
        <v>28221</v>
      </c>
      <c r="K7" s="17">
        <v>52723</v>
      </c>
    </row>
    <row r="8" spans="1:14" x14ac:dyDescent="0.25">
      <c r="A8" s="17">
        <v>18389</v>
      </c>
      <c r="B8" s="18">
        <v>40365</v>
      </c>
      <c r="C8" s="16"/>
      <c r="D8" s="17">
        <v>19730</v>
      </c>
      <c r="E8" s="17">
        <v>43591</v>
      </c>
      <c r="F8" s="13"/>
      <c r="G8" s="17">
        <v>22013</v>
      </c>
      <c r="H8" s="17">
        <v>46149</v>
      </c>
      <c r="I8" s="13"/>
      <c r="J8" s="17">
        <v>28251</v>
      </c>
      <c r="K8" s="17">
        <v>52784</v>
      </c>
    </row>
    <row r="9" spans="1:14" x14ac:dyDescent="0.25">
      <c r="A9" s="17">
        <v>18420</v>
      </c>
      <c r="B9" s="18">
        <v>40427</v>
      </c>
      <c r="C9" s="16"/>
      <c r="D9" s="17">
        <v>19761</v>
      </c>
      <c r="E9" s="17">
        <v>43652</v>
      </c>
      <c r="F9" s="13"/>
      <c r="G9" s="17">
        <v>22014</v>
      </c>
      <c r="H9" s="17">
        <v>46150</v>
      </c>
      <c r="I9" s="13"/>
      <c r="J9" s="17">
        <v>28282</v>
      </c>
      <c r="K9" s="17">
        <v>52846</v>
      </c>
    </row>
    <row r="10" spans="1:14" x14ac:dyDescent="0.25">
      <c r="A10" s="17">
        <v>18450</v>
      </c>
      <c r="B10" s="18">
        <v>40488</v>
      </c>
      <c r="C10" s="16"/>
      <c r="D10" s="17">
        <v>19789</v>
      </c>
      <c r="E10" s="17">
        <v>43714</v>
      </c>
      <c r="F10" s="13"/>
      <c r="G10" s="17">
        <v>22015</v>
      </c>
      <c r="H10" s="17">
        <v>46151</v>
      </c>
      <c r="I10" s="13"/>
      <c r="J10" s="17">
        <v>28312</v>
      </c>
      <c r="K10" s="17">
        <v>52907</v>
      </c>
    </row>
    <row r="11" spans="1:14" x14ac:dyDescent="0.25">
      <c r="A11" s="17">
        <v>18481</v>
      </c>
      <c r="B11" s="18">
        <v>40549</v>
      </c>
      <c r="C11" s="16"/>
      <c r="D11" s="17">
        <v>19820</v>
      </c>
      <c r="E11" s="17">
        <v>43775</v>
      </c>
      <c r="F11" s="13"/>
      <c r="G11" s="17">
        <v>22016</v>
      </c>
      <c r="H11" s="17">
        <v>46152</v>
      </c>
      <c r="I11" s="13"/>
      <c r="J11" s="17">
        <v>28343</v>
      </c>
      <c r="K11" s="17">
        <v>52968</v>
      </c>
    </row>
    <row r="12" spans="1:14" x14ac:dyDescent="0.25">
      <c r="A12" s="17">
        <v>18512</v>
      </c>
      <c r="B12" s="18">
        <v>40608</v>
      </c>
      <c r="C12" s="16"/>
      <c r="D12" s="17">
        <v>19850</v>
      </c>
      <c r="E12" s="17">
        <v>43836</v>
      </c>
      <c r="F12" s="13"/>
      <c r="G12" s="17">
        <v>22017</v>
      </c>
      <c r="H12" s="17">
        <v>46153</v>
      </c>
      <c r="I12" s="13"/>
      <c r="J12" s="17">
        <v>28374</v>
      </c>
      <c r="K12" s="17">
        <v>53027</v>
      </c>
    </row>
    <row r="13" spans="1:14" x14ac:dyDescent="0.25">
      <c r="A13" s="17">
        <v>18542</v>
      </c>
      <c r="B13" s="18">
        <v>40669</v>
      </c>
      <c r="C13" s="16"/>
      <c r="D13" s="17">
        <v>19881</v>
      </c>
      <c r="E13" s="17">
        <v>43896</v>
      </c>
      <c r="F13" s="13"/>
      <c r="G13" s="17">
        <v>22018</v>
      </c>
      <c r="H13" s="17">
        <v>46154</v>
      </c>
      <c r="I13" s="13"/>
      <c r="J13" s="17">
        <v>28404</v>
      </c>
      <c r="K13" s="17">
        <v>53088</v>
      </c>
    </row>
    <row r="14" spans="1:14" x14ac:dyDescent="0.25">
      <c r="A14" s="17">
        <v>18573</v>
      </c>
      <c r="B14" s="18">
        <v>40730</v>
      </c>
      <c r="C14" s="16"/>
      <c r="D14" s="17">
        <v>19911</v>
      </c>
      <c r="E14" s="17">
        <v>43957</v>
      </c>
      <c r="F14" s="13"/>
      <c r="G14" s="17">
        <v>22019</v>
      </c>
      <c r="H14" s="17">
        <v>46155</v>
      </c>
      <c r="I14" s="13"/>
      <c r="J14" s="17">
        <v>28435</v>
      </c>
      <c r="K14" s="17">
        <v>53149</v>
      </c>
    </row>
    <row r="15" spans="1:14" x14ac:dyDescent="0.25">
      <c r="A15" s="17">
        <v>18603</v>
      </c>
      <c r="B15" s="18">
        <v>40792</v>
      </c>
      <c r="C15" s="16"/>
      <c r="D15" s="17">
        <v>19942</v>
      </c>
      <c r="E15" s="17">
        <v>44018</v>
      </c>
      <c r="F15" s="13"/>
      <c r="G15" s="17">
        <v>22020</v>
      </c>
      <c r="H15" s="17">
        <v>46156</v>
      </c>
      <c r="I15" s="13"/>
      <c r="J15" s="17">
        <v>28465</v>
      </c>
      <c r="K15" s="17">
        <v>53211</v>
      </c>
    </row>
    <row r="16" spans="1:14" x14ac:dyDescent="0.25">
      <c r="A16" s="17">
        <v>18634</v>
      </c>
      <c r="B16" s="18">
        <v>40853</v>
      </c>
      <c r="C16" s="16"/>
      <c r="D16" s="17">
        <v>19973</v>
      </c>
      <c r="E16" s="17">
        <v>44080</v>
      </c>
      <c r="F16" s="13"/>
      <c r="G16" s="17">
        <v>22021</v>
      </c>
      <c r="H16" s="17">
        <v>46157</v>
      </c>
      <c r="I16" s="13"/>
      <c r="J16" s="17">
        <v>28496</v>
      </c>
      <c r="K16" s="17">
        <v>53272</v>
      </c>
    </row>
    <row r="17" spans="1:11" x14ac:dyDescent="0.25">
      <c r="A17" s="17">
        <v>18665</v>
      </c>
      <c r="B17" s="18">
        <v>40914</v>
      </c>
      <c r="C17" s="16"/>
      <c r="D17" s="13"/>
      <c r="E17" s="13"/>
      <c r="F17" s="13"/>
      <c r="G17" s="17">
        <v>22022</v>
      </c>
      <c r="H17" s="17">
        <v>46158</v>
      </c>
      <c r="I17" s="13"/>
      <c r="J17" s="17">
        <v>28527</v>
      </c>
      <c r="K17" s="17">
        <v>53333</v>
      </c>
    </row>
    <row r="18" spans="1:11" x14ac:dyDescent="0.25">
      <c r="A18" s="17">
        <v>18693</v>
      </c>
      <c r="B18" s="18">
        <v>40974</v>
      </c>
      <c r="C18" s="16"/>
      <c r="D18" s="13"/>
      <c r="E18" s="13"/>
      <c r="F18" s="13"/>
      <c r="G18" s="17">
        <v>22023</v>
      </c>
      <c r="H18" s="17">
        <v>46159</v>
      </c>
      <c r="I18" s="13"/>
      <c r="J18" s="17">
        <v>28555</v>
      </c>
      <c r="K18" s="17">
        <v>53392</v>
      </c>
    </row>
    <row r="19" spans="1:11" x14ac:dyDescent="0.25">
      <c r="A19" s="17">
        <v>18724</v>
      </c>
      <c r="B19" s="18">
        <v>41035</v>
      </c>
      <c r="C19" s="16"/>
      <c r="D19" s="13"/>
      <c r="E19" s="13"/>
      <c r="F19" s="13"/>
      <c r="G19" s="17">
        <v>22024</v>
      </c>
      <c r="H19" s="17">
        <v>46160</v>
      </c>
      <c r="I19" s="13"/>
      <c r="J19" s="13"/>
      <c r="K19" s="13"/>
    </row>
    <row r="20" spans="1:11" x14ac:dyDescent="0.25">
      <c r="A20" s="17">
        <v>18754</v>
      </c>
      <c r="B20" s="18">
        <v>41096</v>
      </c>
      <c r="C20" s="16"/>
      <c r="D20" s="13"/>
      <c r="E20" s="13"/>
      <c r="F20" s="13"/>
      <c r="G20" s="17">
        <v>22025</v>
      </c>
      <c r="H20" s="17">
        <v>46161</v>
      </c>
      <c r="I20" s="13"/>
      <c r="J20" s="13"/>
      <c r="K20" s="13"/>
    </row>
    <row r="21" spans="1:11" x14ac:dyDescent="0.25">
      <c r="A21" s="17">
        <v>18785</v>
      </c>
      <c r="B21" s="18">
        <v>41158</v>
      </c>
      <c r="C21" s="16"/>
      <c r="D21" s="13"/>
      <c r="E21" s="13"/>
      <c r="F21" s="13"/>
      <c r="G21" s="17">
        <v>22026</v>
      </c>
      <c r="H21" s="17">
        <v>46162</v>
      </c>
      <c r="I21" s="13"/>
      <c r="J21" s="13"/>
      <c r="K21" s="13"/>
    </row>
    <row r="22" spans="1:11" x14ac:dyDescent="0.25">
      <c r="A22" s="17">
        <v>18815</v>
      </c>
      <c r="B22" s="18">
        <v>41219</v>
      </c>
      <c r="C22" s="16"/>
      <c r="D22" s="13"/>
      <c r="E22" s="13"/>
      <c r="F22" s="13"/>
      <c r="G22" s="17">
        <v>22027</v>
      </c>
      <c r="H22" s="17">
        <v>46163</v>
      </c>
      <c r="I22" s="13"/>
      <c r="J22" s="13"/>
      <c r="K22" s="13"/>
    </row>
    <row r="23" spans="1:11" x14ac:dyDescent="0.25">
      <c r="A23" s="17">
        <v>18846</v>
      </c>
      <c r="B23" s="18">
        <v>41280</v>
      </c>
      <c r="C23" s="16"/>
      <c r="D23" s="13"/>
      <c r="E23" s="13"/>
      <c r="F23" s="13"/>
      <c r="G23" s="17">
        <v>22028</v>
      </c>
      <c r="H23" s="17">
        <v>46164</v>
      </c>
      <c r="I23" s="13"/>
      <c r="J23" s="13"/>
      <c r="K23" s="13"/>
    </row>
    <row r="24" spans="1:11" x14ac:dyDescent="0.25">
      <c r="A24" s="17">
        <v>18877</v>
      </c>
      <c r="B24" s="18">
        <v>41339</v>
      </c>
      <c r="C24" s="16"/>
      <c r="D24" s="13"/>
      <c r="E24" s="13"/>
      <c r="F24" s="13"/>
      <c r="G24" s="17">
        <v>22029</v>
      </c>
      <c r="H24" s="17">
        <v>46165</v>
      </c>
      <c r="I24" s="13"/>
      <c r="J24" s="13"/>
      <c r="K24" s="13"/>
    </row>
    <row r="25" spans="1:11" x14ac:dyDescent="0.25">
      <c r="A25" s="17">
        <v>18907</v>
      </c>
      <c r="B25" s="18">
        <v>41400</v>
      </c>
      <c r="C25" s="16"/>
      <c r="D25" s="13"/>
      <c r="E25" s="13"/>
      <c r="F25" s="13"/>
      <c r="G25" s="17">
        <v>22030</v>
      </c>
      <c r="H25" s="17">
        <v>46166</v>
      </c>
      <c r="I25" s="13"/>
      <c r="J25" s="13"/>
      <c r="K25" s="13"/>
    </row>
    <row r="26" spans="1:11" x14ac:dyDescent="0.25">
      <c r="A26" s="17">
        <v>18938</v>
      </c>
      <c r="B26" s="18">
        <v>41461</v>
      </c>
      <c r="C26" s="16"/>
      <c r="D26" s="13"/>
      <c r="E26" s="13"/>
      <c r="F26" s="13"/>
      <c r="G26" s="17">
        <v>22031</v>
      </c>
      <c r="H26" s="17">
        <v>46167</v>
      </c>
      <c r="I26" s="13"/>
      <c r="J26" s="13"/>
      <c r="K26" s="13"/>
    </row>
    <row r="27" spans="1:11" x14ac:dyDescent="0.25">
      <c r="A27" s="17">
        <v>18968</v>
      </c>
      <c r="B27" s="18">
        <v>41523</v>
      </c>
      <c r="C27" s="16"/>
      <c r="D27" s="13"/>
      <c r="E27" s="13"/>
      <c r="F27" s="13"/>
      <c r="G27" s="17">
        <v>22032</v>
      </c>
      <c r="H27" s="17">
        <v>46168</v>
      </c>
      <c r="I27" s="13"/>
      <c r="J27" s="13"/>
      <c r="K27" s="13"/>
    </row>
    <row r="28" spans="1:11" x14ac:dyDescent="0.25">
      <c r="A28" s="17">
        <v>18999</v>
      </c>
      <c r="B28" s="18">
        <v>41584</v>
      </c>
      <c r="C28" s="16"/>
      <c r="D28" s="13"/>
      <c r="E28" s="13"/>
      <c r="F28" s="13"/>
      <c r="G28" s="17">
        <v>22033</v>
      </c>
      <c r="H28" s="17">
        <v>46169</v>
      </c>
      <c r="I28" s="13"/>
      <c r="J28" s="13"/>
      <c r="K28" s="13"/>
    </row>
    <row r="29" spans="1:11" x14ac:dyDescent="0.25">
      <c r="A29" s="17">
        <v>19030</v>
      </c>
      <c r="B29" s="18">
        <v>41645</v>
      </c>
      <c r="C29" s="16"/>
      <c r="D29" s="13"/>
      <c r="E29" s="13"/>
      <c r="F29" s="13"/>
      <c r="G29" s="17">
        <v>22034</v>
      </c>
      <c r="H29" s="17">
        <v>46170</v>
      </c>
      <c r="I29" s="13"/>
      <c r="J29" s="13"/>
      <c r="K29" s="13"/>
    </row>
    <row r="30" spans="1:11" x14ac:dyDescent="0.25">
      <c r="A30" s="17">
        <v>19059</v>
      </c>
      <c r="B30" s="18">
        <v>41704</v>
      </c>
      <c r="C30" s="16"/>
      <c r="D30" s="13"/>
      <c r="E30" s="13"/>
      <c r="F30" s="13"/>
      <c r="G30" s="17">
        <v>22035</v>
      </c>
      <c r="H30" s="17">
        <v>46171</v>
      </c>
      <c r="I30" s="13"/>
      <c r="J30" s="13"/>
      <c r="K30" s="13"/>
    </row>
    <row r="31" spans="1:11" x14ac:dyDescent="0.25">
      <c r="A31" s="17">
        <v>19090</v>
      </c>
      <c r="B31" s="18">
        <v>41765</v>
      </c>
      <c r="C31" s="16"/>
      <c r="D31" s="13"/>
      <c r="E31" s="13"/>
      <c r="F31" s="13"/>
      <c r="G31" s="17">
        <v>22036</v>
      </c>
      <c r="H31" s="17">
        <v>46172</v>
      </c>
      <c r="I31" s="13"/>
      <c r="J31" s="13"/>
      <c r="K31" s="13"/>
    </row>
    <row r="32" spans="1:11" x14ac:dyDescent="0.25">
      <c r="A32" s="17">
        <v>19120</v>
      </c>
      <c r="B32" s="18">
        <v>41826</v>
      </c>
      <c r="C32" s="16"/>
      <c r="D32" s="13"/>
      <c r="E32" s="13"/>
      <c r="F32" s="13"/>
      <c r="G32" s="17">
        <v>22037</v>
      </c>
      <c r="H32" s="17">
        <v>46174</v>
      </c>
      <c r="I32" s="13"/>
      <c r="J32" s="13"/>
      <c r="K32" s="13"/>
    </row>
    <row r="33" spans="1:11" x14ac:dyDescent="0.25">
      <c r="A33" s="17">
        <v>19151</v>
      </c>
      <c r="B33" s="18">
        <v>41888</v>
      </c>
      <c r="C33" s="16"/>
      <c r="D33" s="13"/>
      <c r="E33" s="13"/>
      <c r="F33" s="13"/>
      <c r="G33" s="17">
        <v>22038</v>
      </c>
      <c r="H33" s="17">
        <v>46175</v>
      </c>
      <c r="I33" s="13"/>
      <c r="J33" s="13"/>
      <c r="K33" s="13"/>
    </row>
    <row r="34" spans="1:11" x14ac:dyDescent="0.25">
      <c r="A34" s="17">
        <v>19181</v>
      </c>
      <c r="B34" s="18">
        <v>41949</v>
      </c>
      <c r="C34" s="16"/>
      <c r="D34" s="13"/>
      <c r="E34" s="13"/>
      <c r="F34" s="13"/>
      <c r="G34" s="17">
        <v>22039</v>
      </c>
      <c r="H34" s="17">
        <v>46176</v>
      </c>
      <c r="I34" s="13"/>
      <c r="J34" s="13"/>
      <c r="K34" s="13"/>
    </row>
    <row r="35" spans="1:11" x14ac:dyDescent="0.25">
      <c r="A35" s="17">
        <v>19212</v>
      </c>
      <c r="B35" s="18">
        <v>42010</v>
      </c>
      <c r="C35" s="16"/>
      <c r="D35" s="13"/>
      <c r="E35" s="13"/>
      <c r="F35" s="13"/>
      <c r="G35" s="17">
        <v>22040</v>
      </c>
      <c r="H35" s="17">
        <v>46177</v>
      </c>
      <c r="I35" s="13"/>
      <c r="J35" s="13"/>
      <c r="K35" s="13"/>
    </row>
    <row r="36" spans="1:11" x14ac:dyDescent="0.25">
      <c r="A36" s="17">
        <v>19243</v>
      </c>
      <c r="B36" s="18">
        <v>42069</v>
      </c>
      <c r="C36" s="16"/>
      <c r="D36" s="13"/>
      <c r="E36" s="13"/>
      <c r="F36" s="13"/>
      <c r="G36" s="17">
        <v>22041</v>
      </c>
      <c r="H36" s="17">
        <v>46178</v>
      </c>
      <c r="I36" s="13"/>
      <c r="J36" s="13"/>
      <c r="K36" s="13"/>
    </row>
    <row r="37" spans="1:11" x14ac:dyDescent="0.25">
      <c r="A37" s="17">
        <v>19273</v>
      </c>
      <c r="B37" s="18">
        <v>42130</v>
      </c>
      <c r="C37" s="16"/>
      <c r="D37" s="13"/>
      <c r="E37" s="13"/>
      <c r="F37" s="13"/>
      <c r="G37" s="17">
        <v>22042</v>
      </c>
      <c r="H37" s="17">
        <v>46209</v>
      </c>
      <c r="I37" s="13"/>
      <c r="J37" s="13"/>
      <c r="K37" s="13"/>
    </row>
    <row r="38" spans="1:11" x14ac:dyDescent="0.25">
      <c r="A38" s="17">
        <v>19304</v>
      </c>
      <c r="B38" s="18">
        <v>42191</v>
      </c>
      <c r="C38" s="16"/>
      <c r="D38" s="13"/>
      <c r="E38" s="13"/>
      <c r="F38" s="13"/>
      <c r="G38" s="17">
        <v>22043</v>
      </c>
      <c r="H38" s="17">
        <v>46210</v>
      </c>
      <c r="I38" s="13"/>
      <c r="J38" s="13"/>
      <c r="K38" s="13"/>
    </row>
    <row r="39" spans="1:11" x14ac:dyDescent="0.25">
      <c r="A39" s="17">
        <v>19334</v>
      </c>
      <c r="B39" s="18">
        <v>42253</v>
      </c>
      <c r="C39" s="16"/>
      <c r="D39" s="13"/>
      <c r="E39" s="13"/>
      <c r="F39" s="13"/>
      <c r="G39" s="17">
        <v>22044</v>
      </c>
      <c r="H39" s="17">
        <v>46211</v>
      </c>
      <c r="I39" s="13"/>
      <c r="J39" s="13"/>
      <c r="K39" s="13"/>
    </row>
    <row r="40" spans="1:11" x14ac:dyDescent="0.25">
      <c r="A40" s="17">
        <v>19365</v>
      </c>
      <c r="B40" s="18">
        <v>42314</v>
      </c>
      <c r="C40" s="16"/>
      <c r="D40" s="13"/>
      <c r="E40" s="13"/>
      <c r="F40" s="13"/>
      <c r="G40" s="17">
        <v>22045</v>
      </c>
      <c r="H40" s="17">
        <v>46212</v>
      </c>
      <c r="I40" s="13"/>
      <c r="J40" s="13"/>
      <c r="K40" s="13"/>
    </row>
    <row r="41" spans="1:11" x14ac:dyDescent="0.25">
      <c r="A41" s="17">
        <v>19396</v>
      </c>
      <c r="B41" s="18">
        <v>42375</v>
      </c>
      <c r="C41" s="16"/>
      <c r="D41" s="13"/>
      <c r="E41" s="13"/>
      <c r="F41" s="13"/>
      <c r="G41" s="17">
        <v>22046</v>
      </c>
      <c r="H41" s="17">
        <v>46213</v>
      </c>
      <c r="I41" s="13"/>
      <c r="J41" s="13"/>
      <c r="K41" s="13"/>
    </row>
    <row r="42" spans="1:11" x14ac:dyDescent="0.25">
      <c r="A42" s="17">
        <v>19424</v>
      </c>
      <c r="B42" s="18">
        <v>42435</v>
      </c>
      <c r="C42" s="16"/>
      <c r="D42" s="13"/>
      <c r="E42" s="13"/>
      <c r="F42" s="13"/>
      <c r="G42" s="17">
        <v>22047</v>
      </c>
      <c r="H42" s="17">
        <v>46214</v>
      </c>
      <c r="I42" s="13"/>
      <c r="J42" s="13"/>
      <c r="K42" s="13"/>
    </row>
    <row r="43" spans="1:11" x14ac:dyDescent="0.25">
      <c r="A43" s="17">
        <v>19455</v>
      </c>
      <c r="B43" s="18">
        <v>42557</v>
      </c>
      <c r="C43" s="16"/>
      <c r="D43" s="13"/>
      <c r="E43" s="13"/>
      <c r="F43" s="13"/>
      <c r="G43" s="17">
        <v>22048</v>
      </c>
      <c r="H43" s="17">
        <v>46215</v>
      </c>
      <c r="I43" s="13"/>
      <c r="J43" s="13"/>
      <c r="K43" s="13"/>
    </row>
    <row r="44" spans="1:11" x14ac:dyDescent="0.25">
      <c r="A44" s="17">
        <v>19485</v>
      </c>
      <c r="B44" s="18">
        <v>42680</v>
      </c>
      <c r="C44" s="16"/>
      <c r="D44" s="13"/>
      <c r="E44" s="13"/>
      <c r="F44" s="13"/>
      <c r="G44" s="17">
        <v>22049</v>
      </c>
      <c r="H44" s="17">
        <v>46216</v>
      </c>
      <c r="I44" s="13"/>
      <c r="J44" s="13"/>
      <c r="K44" s="13"/>
    </row>
    <row r="45" spans="1:11" x14ac:dyDescent="0.25">
      <c r="A45" s="17">
        <v>19516</v>
      </c>
      <c r="B45" s="18">
        <v>42800</v>
      </c>
      <c r="C45" s="16"/>
      <c r="D45" s="13"/>
      <c r="E45" s="13"/>
      <c r="F45" s="13"/>
      <c r="G45" s="17">
        <v>22050</v>
      </c>
      <c r="H45" s="17">
        <v>46217</v>
      </c>
      <c r="I45" s="13"/>
      <c r="J45" s="13"/>
      <c r="K45" s="13"/>
    </row>
    <row r="46" spans="1:11" x14ac:dyDescent="0.25">
      <c r="A46" s="17">
        <v>19546</v>
      </c>
      <c r="B46" s="18">
        <v>42922</v>
      </c>
      <c r="C46" s="16"/>
      <c r="D46" s="13"/>
      <c r="E46" s="13"/>
      <c r="F46" s="13"/>
      <c r="G46" s="17">
        <v>22051</v>
      </c>
      <c r="H46" s="17">
        <v>46218</v>
      </c>
      <c r="I46" s="13"/>
      <c r="J46" s="13"/>
      <c r="K46" s="13"/>
    </row>
    <row r="47" spans="1:11" x14ac:dyDescent="0.25">
      <c r="A47" s="17">
        <v>19577</v>
      </c>
      <c r="B47" s="18">
        <v>43045</v>
      </c>
      <c r="C47" s="16"/>
      <c r="D47" s="13"/>
      <c r="E47" s="13"/>
      <c r="F47" s="13"/>
      <c r="G47" s="17">
        <v>22052</v>
      </c>
      <c r="H47" s="17">
        <v>46219</v>
      </c>
      <c r="I47" s="13"/>
      <c r="J47" s="13"/>
      <c r="K47" s="13"/>
    </row>
    <row r="48" spans="1:11" x14ac:dyDescent="0.25">
      <c r="A48" s="17">
        <v>19608</v>
      </c>
      <c r="B48" s="18">
        <v>43165</v>
      </c>
      <c r="C48" s="16"/>
      <c r="D48" s="13"/>
      <c r="E48" s="13"/>
      <c r="F48" s="13"/>
      <c r="G48" s="17">
        <v>22053</v>
      </c>
      <c r="H48" s="17">
        <v>46220</v>
      </c>
      <c r="I48" s="13"/>
      <c r="J48" s="13"/>
      <c r="K48" s="13"/>
    </row>
    <row r="49" spans="1:11" x14ac:dyDescent="0.25">
      <c r="A49" s="17">
        <v>19638</v>
      </c>
      <c r="B49" s="18">
        <v>43287</v>
      </c>
      <c r="C49" s="16"/>
      <c r="D49" s="13"/>
      <c r="E49" s="13"/>
      <c r="F49" s="13"/>
      <c r="G49" s="17">
        <v>22054</v>
      </c>
      <c r="H49" s="17">
        <v>46221</v>
      </c>
      <c r="I49" s="13"/>
      <c r="J49" s="13"/>
      <c r="K49" s="13"/>
    </row>
    <row r="50" spans="1:11" x14ac:dyDescent="0.25">
      <c r="A50" s="17">
        <v>19669</v>
      </c>
      <c r="B50" s="18">
        <v>43410</v>
      </c>
      <c r="C50" s="16"/>
      <c r="D50" s="13"/>
      <c r="E50" s="13"/>
      <c r="F50" s="13"/>
      <c r="G50" s="17">
        <v>22055</v>
      </c>
      <c r="H50" s="17">
        <v>46222</v>
      </c>
      <c r="I50" s="13"/>
      <c r="J50" s="13"/>
      <c r="K50" s="13"/>
    </row>
    <row r="51" spans="1:11" x14ac:dyDescent="0.25">
      <c r="A51" s="19"/>
      <c r="B51" s="15"/>
      <c r="C51" s="16"/>
      <c r="D51" s="13"/>
      <c r="E51" s="13"/>
      <c r="F51" s="13"/>
      <c r="G51" s="17">
        <v>22056</v>
      </c>
      <c r="H51" s="17">
        <v>46223</v>
      </c>
      <c r="I51" s="13"/>
      <c r="J51" s="13"/>
      <c r="K51" s="13"/>
    </row>
    <row r="52" spans="1:11" x14ac:dyDescent="0.25">
      <c r="A52" s="13"/>
      <c r="B52" s="13"/>
      <c r="C52" s="13"/>
      <c r="D52" s="13"/>
      <c r="E52" s="13"/>
      <c r="F52" s="13"/>
      <c r="G52" s="17">
        <v>22057</v>
      </c>
      <c r="H52" s="17">
        <v>46224</v>
      </c>
      <c r="I52" s="13"/>
      <c r="J52" s="13"/>
      <c r="K52" s="13"/>
    </row>
    <row r="53" spans="1:11" x14ac:dyDescent="0.25">
      <c r="A53" s="20"/>
      <c r="B53" s="20"/>
      <c r="C53" s="20"/>
      <c r="D53" s="20"/>
      <c r="E53" s="20"/>
      <c r="F53" s="20"/>
      <c r="G53" s="17">
        <v>22058</v>
      </c>
      <c r="H53" s="17">
        <v>46225</v>
      </c>
      <c r="I53" s="20"/>
      <c r="J53" s="20"/>
      <c r="K53" s="20"/>
    </row>
    <row r="54" spans="1:11" x14ac:dyDescent="0.25">
      <c r="A54" s="20"/>
      <c r="B54" s="20"/>
      <c r="C54" s="20"/>
      <c r="D54" s="20"/>
      <c r="E54" s="20"/>
      <c r="F54" s="20"/>
      <c r="G54" s="17">
        <v>22059</v>
      </c>
      <c r="H54" s="17">
        <v>46226</v>
      </c>
      <c r="I54" s="20"/>
      <c r="J54" s="20"/>
      <c r="K54" s="20"/>
    </row>
    <row r="55" spans="1:11" x14ac:dyDescent="0.25">
      <c r="A55" s="20"/>
      <c r="B55" s="20"/>
      <c r="C55" s="20"/>
      <c r="D55" s="20"/>
      <c r="E55" s="20"/>
      <c r="F55" s="20"/>
      <c r="G55" s="17">
        <v>22060</v>
      </c>
      <c r="H55" s="17">
        <v>46227</v>
      </c>
      <c r="I55" s="20"/>
      <c r="J55" s="20"/>
      <c r="K55" s="20"/>
    </row>
    <row r="56" spans="1:11" x14ac:dyDescent="0.25">
      <c r="A56" s="20"/>
      <c r="B56" s="20"/>
      <c r="C56" s="20"/>
      <c r="D56" s="20"/>
      <c r="E56" s="20"/>
      <c r="F56" s="20"/>
      <c r="G56" s="17">
        <v>22061</v>
      </c>
      <c r="H56" s="17">
        <v>46228</v>
      </c>
      <c r="I56" s="20"/>
      <c r="J56" s="20"/>
      <c r="K56" s="20"/>
    </row>
    <row r="57" spans="1:11" x14ac:dyDescent="0.25">
      <c r="A57" s="20"/>
      <c r="B57" s="20"/>
      <c r="C57" s="20"/>
      <c r="D57" s="20"/>
      <c r="E57" s="20"/>
      <c r="F57" s="20"/>
      <c r="G57" s="17">
        <v>22062</v>
      </c>
      <c r="H57" s="17">
        <v>46229</v>
      </c>
      <c r="I57" s="20"/>
      <c r="J57" s="20"/>
      <c r="K57" s="20"/>
    </row>
    <row r="58" spans="1:11" x14ac:dyDescent="0.25">
      <c r="A58" s="20"/>
      <c r="B58" s="20"/>
      <c r="C58" s="20"/>
      <c r="D58" s="20"/>
      <c r="E58" s="20"/>
      <c r="F58" s="20"/>
      <c r="G58" s="17">
        <v>22063</v>
      </c>
      <c r="H58" s="17">
        <v>46230</v>
      </c>
      <c r="I58" s="20"/>
      <c r="J58" s="20"/>
      <c r="K58" s="20"/>
    </row>
    <row r="59" spans="1:11" x14ac:dyDescent="0.25">
      <c r="A59" s="20"/>
      <c r="B59" s="20"/>
      <c r="C59" s="20"/>
      <c r="D59" s="20"/>
      <c r="E59" s="20"/>
      <c r="F59" s="20"/>
      <c r="G59" s="17">
        <v>22064</v>
      </c>
      <c r="H59" s="17">
        <v>46231</v>
      </c>
      <c r="I59" s="20"/>
      <c r="J59" s="20"/>
      <c r="K59" s="20"/>
    </row>
    <row r="60" spans="1:11" x14ac:dyDescent="0.25">
      <c r="A60" s="20"/>
      <c r="B60" s="20"/>
      <c r="C60" s="20"/>
      <c r="D60" s="20"/>
      <c r="E60" s="20"/>
      <c r="F60" s="20"/>
      <c r="G60" s="17">
        <v>22065</v>
      </c>
      <c r="H60" s="17">
        <v>46232</v>
      </c>
      <c r="I60" s="20"/>
      <c r="J60" s="20"/>
      <c r="K60" s="20"/>
    </row>
    <row r="61" spans="1:11" x14ac:dyDescent="0.25">
      <c r="A61" s="20"/>
      <c r="B61" s="20"/>
      <c r="C61" s="20"/>
      <c r="D61" s="20"/>
      <c r="E61" s="20"/>
      <c r="F61" s="20"/>
      <c r="G61" s="17">
        <v>22066</v>
      </c>
      <c r="H61" s="17">
        <v>46233</v>
      </c>
      <c r="I61" s="20"/>
      <c r="J61" s="20"/>
      <c r="K61" s="20"/>
    </row>
    <row r="62" spans="1:11" x14ac:dyDescent="0.25">
      <c r="A62" s="20"/>
      <c r="B62" s="20"/>
      <c r="C62" s="20"/>
      <c r="D62" s="20"/>
      <c r="E62" s="20"/>
      <c r="F62" s="20"/>
      <c r="G62" s="17">
        <v>22067</v>
      </c>
      <c r="H62" s="17">
        <v>46234</v>
      </c>
      <c r="I62" s="20"/>
      <c r="J62" s="20"/>
      <c r="K62" s="20"/>
    </row>
    <row r="63" spans="1:11" x14ac:dyDescent="0.25">
      <c r="A63" s="20"/>
      <c r="B63" s="20"/>
      <c r="C63" s="20"/>
      <c r="D63" s="20"/>
      <c r="E63" s="20"/>
      <c r="F63" s="20"/>
      <c r="G63" s="17">
        <v>22068</v>
      </c>
      <c r="H63" s="17">
        <v>46235</v>
      </c>
      <c r="I63" s="20"/>
      <c r="J63" s="20"/>
      <c r="K63" s="20"/>
    </row>
    <row r="64" spans="1:11" x14ac:dyDescent="0.25">
      <c r="A64" s="20"/>
      <c r="B64" s="20"/>
      <c r="C64" s="20"/>
      <c r="D64" s="20"/>
      <c r="E64" s="20"/>
      <c r="F64" s="20"/>
      <c r="G64" s="17">
        <v>22069</v>
      </c>
      <c r="H64" s="17">
        <v>46236</v>
      </c>
      <c r="I64" s="20"/>
      <c r="J64" s="20"/>
      <c r="K64" s="20"/>
    </row>
    <row r="65" spans="1:11" x14ac:dyDescent="0.25">
      <c r="A65" s="20"/>
      <c r="B65" s="20"/>
      <c r="C65" s="20"/>
      <c r="D65" s="20"/>
      <c r="E65" s="20"/>
      <c r="F65" s="20"/>
      <c r="G65" s="17">
        <v>22070</v>
      </c>
      <c r="H65" s="17">
        <v>46237</v>
      </c>
      <c r="I65" s="20"/>
      <c r="J65" s="20"/>
      <c r="K65" s="20"/>
    </row>
    <row r="66" spans="1:11" x14ac:dyDescent="0.25">
      <c r="A66" s="20"/>
      <c r="B66" s="20"/>
      <c r="C66" s="20"/>
      <c r="D66" s="20"/>
      <c r="E66" s="20"/>
      <c r="F66" s="20"/>
      <c r="G66" s="17">
        <v>22071</v>
      </c>
      <c r="H66" s="17">
        <v>46238</v>
      </c>
      <c r="I66" s="20"/>
      <c r="J66" s="20"/>
      <c r="K66" s="20"/>
    </row>
    <row r="67" spans="1:11" x14ac:dyDescent="0.25">
      <c r="A67" s="20"/>
      <c r="B67" s="20"/>
      <c r="C67" s="20"/>
      <c r="D67" s="20"/>
      <c r="E67" s="20"/>
      <c r="F67" s="20"/>
      <c r="G67" s="17">
        <v>22072</v>
      </c>
      <c r="H67" s="17">
        <v>46239</v>
      </c>
      <c r="I67" s="20"/>
      <c r="J67" s="20"/>
      <c r="K67" s="20"/>
    </row>
    <row r="68" spans="1:11" x14ac:dyDescent="0.25">
      <c r="A68" s="20"/>
      <c r="B68" s="20"/>
      <c r="C68" s="20"/>
      <c r="D68" s="20"/>
      <c r="E68" s="20"/>
      <c r="F68" s="20"/>
      <c r="G68" s="17">
        <v>22073</v>
      </c>
      <c r="H68" s="17">
        <v>46271</v>
      </c>
      <c r="I68" s="20"/>
      <c r="J68" s="20"/>
      <c r="K68" s="20"/>
    </row>
    <row r="69" spans="1:11" x14ac:dyDescent="0.25">
      <c r="A69" s="20"/>
      <c r="B69" s="20"/>
      <c r="C69" s="20"/>
      <c r="D69" s="20"/>
      <c r="E69" s="20"/>
      <c r="F69" s="20"/>
      <c r="G69" s="17">
        <v>22074</v>
      </c>
      <c r="H69" s="17">
        <v>46272</v>
      </c>
      <c r="I69" s="20"/>
      <c r="J69" s="20"/>
      <c r="K69" s="20"/>
    </row>
    <row r="70" spans="1:11" x14ac:dyDescent="0.25">
      <c r="A70" s="20"/>
      <c r="B70" s="20"/>
      <c r="C70" s="20"/>
      <c r="D70" s="20"/>
      <c r="E70" s="20"/>
      <c r="F70" s="20"/>
      <c r="G70" s="17">
        <v>22075</v>
      </c>
      <c r="H70" s="17">
        <v>46273</v>
      </c>
      <c r="I70" s="20"/>
      <c r="J70" s="20"/>
      <c r="K70" s="20"/>
    </row>
    <row r="71" spans="1:11" x14ac:dyDescent="0.25">
      <c r="A71" s="20"/>
      <c r="B71" s="20"/>
      <c r="C71" s="20"/>
      <c r="D71" s="20"/>
      <c r="E71" s="20"/>
      <c r="F71" s="20"/>
      <c r="G71" s="17">
        <v>22076</v>
      </c>
      <c r="H71" s="17">
        <v>46274</v>
      </c>
      <c r="I71" s="20"/>
      <c r="J71" s="20"/>
      <c r="K71" s="20"/>
    </row>
    <row r="72" spans="1:11" x14ac:dyDescent="0.25">
      <c r="A72" s="20"/>
      <c r="B72" s="20"/>
      <c r="C72" s="20"/>
      <c r="D72" s="20"/>
      <c r="E72" s="20"/>
      <c r="F72" s="20"/>
      <c r="G72" s="17">
        <v>22077</v>
      </c>
      <c r="H72" s="17">
        <v>46275</v>
      </c>
      <c r="I72" s="20"/>
      <c r="J72" s="20"/>
      <c r="K72" s="20"/>
    </row>
    <row r="73" spans="1:11" x14ac:dyDescent="0.25">
      <c r="A73" s="20"/>
      <c r="B73" s="20"/>
      <c r="C73" s="20"/>
      <c r="D73" s="20"/>
      <c r="E73" s="20"/>
      <c r="F73" s="20"/>
      <c r="G73" s="17">
        <v>22078</v>
      </c>
      <c r="H73" s="17">
        <v>46276</v>
      </c>
      <c r="I73" s="20"/>
      <c r="J73" s="20"/>
      <c r="K73" s="20"/>
    </row>
    <row r="74" spans="1:11" x14ac:dyDescent="0.25">
      <c r="A74" s="20"/>
      <c r="B74" s="20"/>
      <c r="C74" s="20"/>
      <c r="D74" s="20"/>
      <c r="E74" s="20"/>
      <c r="F74" s="20"/>
      <c r="G74" s="17">
        <v>22079</v>
      </c>
      <c r="H74" s="17">
        <v>46277</v>
      </c>
      <c r="I74" s="20"/>
      <c r="J74" s="20"/>
      <c r="K74" s="20"/>
    </row>
    <row r="75" spans="1:11" x14ac:dyDescent="0.25">
      <c r="A75" s="20"/>
      <c r="B75" s="20"/>
      <c r="C75" s="20"/>
      <c r="D75" s="20"/>
      <c r="E75" s="20"/>
      <c r="F75" s="20"/>
      <c r="G75" s="17">
        <v>22080</v>
      </c>
      <c r="H75" s="17">
        <v>46278</v>
      </c>
      <c r="I75" s="20"/>
      <c r="J75" s="20"/>
      <c r="K75" s="20"/>
    </row>
    <row r="76" spans="1:11" x14ac:dyDescent="0.25">
      <c r="A76" s="20"/>
      <c r="B76" s="20"/>
      <c r="C76" s="20"/>
      <c r="D76" s="20"/>
      <c r="E76" s="20"/>
      <c r="F76" s="20"/>
      <c r="G76" s="17">
        <v>22081</v>
      </c>
      <c r="H76" s="17">
        <v>46279</v>
      </c>
      <c r="I76" s="20"/>
      <c r="J76" s="20"/>
      <c r="K76" s="20"/>
    </row>
    <row r="77" spans="1:11" x14ac:dyDescent="0.25">
      <c r="A77" s="20"/>
      <c r="B77" s="20"/>
      <c r="C77" s="20"/>
      <c r="D77" s="20"/>
      <c r="E77" s="20"/>
      <c r="F77" s="20"/>
      <c r="G77" s="17">
        <v>22082</v>
      </c>
      <c r="H77" s="17">
        <v>46280</v>
      </c>
      <c r="I77" s="20"/>
      <c r="J77" s="20"/>
      <c r="K77" s="20"/>
    </row>
    <row r="78" spans="1:11" x14ac:dyDescent="0.25">
      <c r="A78" s="20"/>
      <c r="B78" s="20"/>
      <c r="C78" s="20"/>
      <c r="D78" s="20"/>
      <c r="E78" s="20"/>
      <c r="F78" s="20"/>
      <c r="G78" s="17">
        <v>22083</v>
      </c>
      <c r="H78" s="17">
        <v>46281</v>
      </c>
      <c r="I78" s="20"/>
      <c r="J78" s="20"/>
      <c r="K78" s="20"/>
    </row>
    <row r="79" spans="1:11" x14ac:dyDescent="0.25">
      <c r="A79" s="20"/>
      <c r="B79" s="20"/>
      <c r="C79" s="20"/>
      <c r="D79" s="20"/>
      <c r="E79" s="20"/>
      <c r="F79" s="20"/>
      <c r="G79" s="17">
        <v>22084</v>
      </c>
      <c r="H79" s="17">
        <v>46282</v>
      </c>
      <c r="I79" s="20"/>
      <c r="J79" s="20"/>
      <c r="K79" s="20"/>
    </row>
    <row r="80" spans="1:11" x14ac:dyDescent="0.25">
      <c r="A80" s="20"/>
      <c r="B80" s="20"/>
      <c r="C80" s="20"/>
      <c r="D80" s="20"/>
      <c r="E80" s="20"/>
      <c r="F80" s="20"/>
      <c r="G80" s="17">
        <v>22085</v>
      </c>
      <c r="H80" s="17">
        <v>46283</v>
      </c>
      <c r="I80" s="20"/>
      <c r="J80" s="20"/>
      <c r="K80" s="20"/>
    </row>
    <row r="81" spans="1:11" x14ac:dyDescent="0.25">
      <c r="A81" s="20"/>
      <c r="B81" s="20"/>
      <c r="C81" s="20"/>
      <c r="D81" s="20"/>
      <c r="E81" s="20"/>
      <c r="F81" s="20"/>
      <c r="G81" s="17">
        <v>22086</v>
      </c>
      <c r="H81" s="17">
        <v>46284</v>
      </c>
      <c r="I81" s="20"/>
      <c r="J81" s="20"/>
      <c r="K81" s="20"/>
    </row>
    <row r="82" spans="1:11" x14ac:dyDescent="0.25">
      <c r="A82" s="20"/>
      <c r="B82" s="20"/>
      <c r="C82" s="20"/>
      <c r="D82" s="20"/>
      <c r="E82" s="20"/>
      <c r="F82" s="20"/>
      <c r="G82" s="17">
        <v>22087</v>
      </c>
      <c r="H82" s="17">
        <v>46285</v>
      </c>
      <c r="I82" s="20"/>
      <c r="J82" s="20"/>
      <c r="K82" s="20"/>
    </row>
    <row r="83" spans="1:11" x14ac:dyDescent="0.25">
      <c r="A83" s="20"/>
      <c r="B83" s="20"/>
      <c r="C83" s="20"/>
      <c r="D83" s="20"/>
      <c r="E83" s="20"/>
      <c r="F83" s="20"/>
      <c r="G83" s="17">
        <v>22088</v>
      </c>
      <c r="H83" s="17">
        <v>46286</v>
      </c>
      <c r="I83" s="20"/>
      <c r="J83" s="20"/>
      <c r="K83" s="20"/>
    </row>
    <row r="84" spans="1:11" x14ac:dyDescent="0.25">
      <c r="A84" s="20"/>
      <c r="B84" s="20"/>
      <c r="C84" s="20"/>
      <c r="D84" s="20"/>
      <c r="E84" s="20"/>
      <c r="F84" s="20"/>
      <c r="G84" s="17">
        <v>22089</v>
      </c>
      <c r="H84" s="17">
        <v>46287</v>
      </c>
      <c r="I84" s="20"/>
      <c r="J84" s="20"/>
      <c r="K84" s="20"/>
    </row>
    <row r="85" spans="1:11" x14ac:dyDescent="0.25">
      <c r="A85" s="20"/>
      <c r="B85" s="20"/>
      <c r="C85" s="20"/>
      <c r="D85" s="20"/>
      <c r="E85" s="20"/>
      <c r="F85" s="20"/>
      <c r="G85" s="17">
        <v>22090</v>
      </c>
      <c r="H85" s="17">
        <v>46288</v>
      </c>
      <c r="I85" s="20"/>
      <c r="J85" s="20"/>
      <c r="K85" s="20"/>
    </row>
    <row r="86" spans="1:11" x14ac:dyDescent="0.25">
      <c r="A86" s="20"/>
      <c r="B86" s="20"/>
      <c r="C86" s="20"/>
      <c r="D86" s="20"/>
      <c r="E86" s="20"/>
      <c r="F86" s="20"/>
      <c r="G86" s="17">
        <v>22091</v>
      </c>
      <c r="H86" s="17">
        <v>46289</v>
      </c>
      <c r="I86" s="20"/>
      <c r="J86" s="20"/>
      <c r="K86" s="20"/>
    </row>
    <row r="87" spans="1:11" x14ac:dyDescent="0.25">
      <c r="A87" s="20"/>
      <c r="B87" s="20"/>
      <c r="C87" s="20"/>
      <c r="D87" s="20"/>
      <c r="E87" s="20"/>
      <c r="F87" s="20"/>
      <c r="G87" s="17">
        <v>22092</v>
      </c>
      <c r="H87" s="17">
        <v>46290</v>
      </c>
      <c r="I87" s="20"/>
      <c r="J87" s="20"/>
      <c r="K87" s="20"/>
    </row>
    <row r="88" spans="1:11" x14ac:dyDescent="0.25">
      <c r="A88" s="20"/>
      <c r="B88" s="20"/>
      <c r="C88" s="20"/>
      <c r="D88" s="20"/>
      <c r="E88" s="20"/>
      <c r="F88" s="20"/>
      <c r="G88" s="17">
        <v>22093</v>
      </c>
      <c r="H88" s="17">
        <v>46291</v>
      </c>
      <c r="I88" s="20"/>
      <c r="J88" s="20"/>
      <c r="K88" s="20"/>
    </row>
    <row r="89" spans="1:11" x14ac:dyDescent="0.25">
      <c r="A89" s="20"/>
      <c r="B89" s="20"/>
      <c r="C89" s="20"/>
      <c r="D89" s="20"/>
      <c r="E89" s="20"/>
      <c r="F89" s="20"/>
      <c r="G89" s="17">
        <v>22094</v>
      </c>
      <c r="H89" s="17">
        <v>46292</v>
      </c>
      <c r="I89" s="20"/>
      <c r="J89" s="20"/>
      <c r="K89" s="20"/>
    </row>
    <row r="90" spans="1:11" x14ac:dyDescent="0.25">
      <c r="A90" s="20"/>
      <c r="B90" s="20"/>
      <c r="C90" s="20"/>
      <c r="D90" s="20"/>
      <c r="E90" s="20"/>
      <c r="F90" s="20"/>
      <c r="G90" s="17">
        <v>22095</v>
      </c>
      <c r="H90" s="17">
        <v>46293</v>
      </c>
      <c r="I90" s="20"/>
      <c r="J90" s="20"/>
      <c r="K90" s="20"/>
    </row>
    <row r="91" spans="1:11" x14ac:dyDescent="0.25">
      <c r="A91" s="20"/>
      <c r="B91" s="20"/>
      <c r="C91" s="20"/>
      <c r="D91" s="20"/>
      <c r="E91" s="20"/>
      <c r="F91" s="20"/>
      <c r="G91" s="17">
        <v>22096</v>
      </c>
      <c r="H91" s="17">
        <v>46294</v>
      </c>
      <c r="I91" s="20"/>
      <c r="J91" s="20"/>
      <c r="K91" s="20"/>
    </row>
    <row r="92" spans="1:11" x14ac:dyDescent="0.25">
      <c r="A92" s="20"/>
      <c r="B92" s="20"/>
      <c r="C92" s="20"/>
      <c r="D92" s="20"/>
      <c r="E92" s="20"/>
      <c r="F92" s="20"/>
      <c r="G92" s="17">
        <v>22097</v>
      </c>
      <c r="H92" s="17">
        <v>46295</v>
      </c>
      <c r="I92" s="20"/>
      <c r="J92" s="20"/>
      <c r="K92" s="20"/>
    </row>
    <row r="93" spans="1:11" x14ac:dyDescent="0.25">
      <c r="A93" s="20"/>
      <c r="B93" s="20"/>
      <c r="C93" s="20"/>
      <c r="D93" s="20"/>
      <c r="E93" s="20"/>
      <c r="F93" s="20"/>
      <c r="G93" s="17">
        <v>22098</v>
      </c>
      <c r="H93" s="17">
        <v>46296</v>
      </c>
      <c r="I93" s="20"/>
      <c r="J93" s="20"/>
      <c r="K93" s="20"/>
    </row>
    <row r="94" spans="1:11" x14ac:dyDescent="0.25">
      <c r="A94" s="20"/>
      <c r="B94" s="20"/>
      <c r="C94" s="20"/>
      <c r="D94" s="20"/>
      <c r="E94" s="20"/>
      <c r="F94" s="20"/>
      <c r="G94" s="17">
        <v>22099</v>
      </c>
      <c r="H94" s="17">
        <v>46297</v>
      </c>
      <c r="I94" s="20"/>
      <c r="J94" s="20"/>
      <c r="K94" s="20"/>
    </row>
    <row r="95" spans="1:11" x14ac:dyDescent="0.25">
      <c r="A95" s="20"/>
      <c r="B95" s="20"/>
      <c r="C95" s="20"/>
      <c r="D95" s="20"/>
      <c r="E95" s="20"/>
      <c r="F95" s="20"/>
      <c r="G95" s="17">
        <v>22100</v>
      </c>
      <c r="H95" s="17">
        <v>46298</v>
      </c>
      <c r="I95" s="20"/>
      <c r="J95" s="20"/>
      <c r="K95" s="20"/>
    </row>
    <row r="96" spans="1:11" x14ac:dyDescent="0.25">
      <c r="A96" s="20"/>
      <c r="B96" s="20"/>
      <c r="C96" s="20"/>
      <c r="D96" s="20"/>
      <c r="E96" s="20"/>
      <c r="F96" s="20"/>
      <c r="G96" s="17">
        <v>22101</v>
      </c>
      <c r="H96" s="17">
        <v>46299</v>
      </c>
      <c r="I96" s="20"/>
      <c r="J96" s="20"/>
      <c r="K96" s="20"/>
    </row>
    <row r="97" spans="1:11" x14ac:dyDescent="0.25">
      <c r="A97" s="20"/>
      <c r="B97" s="20"/>
      <c r="C97" s="20"/>
      <c r="D97" s="20"/>
      <c r="E97" s="20"/>
      <c r="F97" s="20"/>
      <c r="G97" s="17">
        <v>22102</v>
      </c>
      <c r="H97" s="17">
        <v>46300</v>
      </c>
      <c r="I97" s="20"/>
      <c r="J97" s="20"/>
      <c r="K97" s="20"/>
    </row>
    <row r="98" spans="1:11" x14ac:dyDescent="0.25">
      <c r="A98" s="20"/>
      <c r="B98" s="20"/>
      <c r="C98" s="20"/>
      <c r="D98" s="20"/>
      <c r="E98" s="20"/>
      <c r="F98" s="20"/>
      <c r="G98" s="17">
        <v>22103</v>
      </c>
      <c r="H98" s="17">
        <v>46332</v>
      </c>
      <c r="I98" s="20"/>
      <c r="J98" s="20"/>
      <c r="K98" s="20"/>
    </row>
    <row r="99" spans="1:11" x14ac:dyDescent="0.25">
      <c r="A99" s="20"/>
      <c r="B99" s="20"/>
      <c r="C99" s="20"/>
      <c r="D99" s="20"/>
      <c r="E99" s="20"/>
      <c r="F99" s="20"/>
      <c r="G99" s="17">
        <v>22104</v>
      </c>
      <c r="H99" s="17">
        <v>46333</v>
      </c>
      <c r="I99" s="20"/>
      <c r="J99" s="20"/>
      <c r="K99" s="20"/>
    </row>
    <row r="100" spans="1:11" x14ac:dyDescent="0.25">
      <c r="A100" s="20"/>
      <c r="B100" s="20"/>
      <c r="C100" s="20"/>
      <c r="D100" s="20"/>
      <c r="E100" s="20"/>
      <c r="F100" s="20"/>
      <c r="G100" s="17">
        <v>22105</v>
      </c>
      <c r="H100" s="17">
        <v>46334</v>
      </c>
      <c r="I100" s="20"/>
      <c r="J100" s="20"/>
      <c r="K100" s="20"/>
    </row>
    <row r="101" spans="1:11" x14ac:dyDescent="0.25">
      <c r="A101" s="20"/>
      <c r="B101" s="20"/>
      <c r="C101" s="20"/>
      <c r="D101" s="20"/>
      <c r="E101" s="20"/>
      <c r="F101" s="20"/>
      <c r="G101" s="17">
        <v>22106</v>
      </c>
      <c r="H101" s="17">
        <v>46335</v>
      </c>
      <c r="I101" s="20"/>
      <c r="J101" s="20"/>
      <c r="K101" s="20"/>
    </row>
    <row r="102" spans="1:11" x14ac:dyDescent="0.25">
      <c r="A102" s="20"/>
      <c r="B102" s="20"/>
      <c r="C102" s="20"/>
      <c r="D102" s="20"/>
      <c r="E102" s="20"/>
      <c r="F102" s="20"/>
      <c r="G102" s="17">
        <v>22107</v>
      </c>
      <c r="H102" s="17">
        <v>46336</v>
      </c>
      <c r="I102" s="20"/>
      <c r="J102" s="20"/>
      <c r="K102" s="20"/>
    </row>
    <row r="103" spans="1:11" x14ac:dyDescent="0.25">
      <c r="A103" s="20"/>
      <c r="B103" s="20"/>
      <c r="C103" s="20"/>
      <c r="D103" s="20"/>
      <c r="E103" s="20"/>
      <c r="F103" s="20"/>
      <c r="G103" s="17">
        <v>22108</v>
      </c>
      <c r="H103" s="17">
        <v>46337</v>
      </c>
      <c r="I103" s="20"/>
      <c r="J103" s="20"/>
      <c r="K103" s="20"/>
    </row>
    <row r="104" spans="1:11" x14ac:dyDescent="0.25">
      <c r="A104" s="20"/>
      <c r="B104" s="20"/>
      <c r="C104" s="20"/>
      <c r="D104" s="20"/>
      <c r="E104" s="20"/>
      <c r="F104" s="20"/>
      <c r="G104" s="17">
        <v>22109</v>
      </c>
      <c r="H104" s="17">
        <v>46338</v>
      </c>
      <c r="I104" s="20"/>
      <c r="J104" s="20"/>
      <c r="K104" s="20"/>
    </row>
    <row r="105" spans="1:11" x14ac:dyDescent="0.25">
      <c r="A105" s="20"/>
      <c r="B105" s="20"/>
      <c r="C105" s="20"/>
      <c r="D105" s="20"/>
      <c r="E105" s="20"/>
      <c r="F105" s="20"/>
      <c r="G105" s="17">
        <v>22110</v>
      </c>
      <c r="H105" s="17">
        <v>46339</v>
      </c>
      <c r="I105" s="20"/>
      <c r="J105" s="20"/>
      <c r="K105" s="20"/>
    </row>
    <row r="106" spans="1:11" x14ac:dyDescent="0.25">
      <c r="A106" s="20"/>
      <c r="B106" s="20"/>
      <c r="C106" s="20"/>
      <c r="D106" s="20"/>
      <c r="E106" s="20"/>
      <c r="F106" s="20"/>
      <c r="G106" s="17">
        <v>22111</v>
      </c>
      <c r="H106" s="17">
        <v>46340</v>
      </c>
      <c r="I106" s="20"/>
      <c r="J106" s="20"/>
      <c r="K106" s="20"/>
    </row>
    <row r="107" spans="1:11" x14ac:dyDescent="0.25">
      <c r="A107" s="20"/>
      <c r="B107" s="20"/>
      <c r="C107" s="20"/>
      <c r="D107" s="20"/>
      <c r="E107" s="20"/>
      <c r="F107" s="20"/>
      <c r="G107" s="17">
        <v>22112</v>
      </c>
      <c r="H107" s="17">
        <v>46341</v>
      </c>
      <c r="I107" s="20"/>
      <c r="J107" s="20"/>
      <c r="K107" s="20"/>
    </row>
    <row r="108" spans="1:11" x14ac:dyDescent="0.25">
      <c r="A108" s="20"/>
      <c r="B108" s="20"/>
      <c r="C108" s="20"/>
      <c r="D108" s="20"/>
      <c r="E108" s="20"/>
      <c r="F108" s="20"/>
      <c r="G108" s="17">
        <v>22113</v>
      </c>
      <c r="H108" s="17">
        <v>46342</v>
      </c>
      <c r="I108" s="20"/>
      <c r="J108" s="20"/>
      <c r="K108" s="20"/>
    </row>
    <row r="109" spans="1:11" x14ac:dyDescent="0.25">
      <c r="A109" s="20"/>
      <c r="B109" s="20"/>
      <c r="C109" s="20"/>
      <c r="D109" s="20"/>
      <c r="E109" s="20"/>
      <c r="F109" s="20"/>
      <c r="G109" s="17">
        <v>22114</v>
      </c>
      <c r="H109" s="17">
        <v>46343</v>
      </c>
      <c r="I109" s="20"/>
      <c r="J109" s="20"/>
      <c r="K109" s="20"/>
    </row>
    <row r="110" spans="1:11" x14ac:dyDescent="0.25">
      <c r="A110" s="20"/>
      <c r="B110" s="20"/>
      <c r="C110" s="20"/>
      <c r="D110" s="20"/>
      <c r="E110" s="20"/>
      <c r="F110" s="20"/>
      <c r="G110" s="17">
        <v>22115</v>
      </c>
      <c r="H110" s="17">
        <v>46344</v>
      </c>
      <c r="I110" s="20"/>
      <c r="J110" s="20"/>
      <c r="K110" s="20"/>
    </row>
    <row r="111" spans="1:11" x14ac:dyDescent="0.25">
      <c r="A111" s="20"/>
      <c r="B111" s="20"/>
      <c r="C111" s="20"/>
      <c r="D111" s="20"/>
      <c r="E111" s="20"/>
      <c r="F111" s="20"/>
      <c r="G111" s="17">
        <v>22116</v>
      </c>
      <c r="H111" s="17">
        <v>46345</v>
      </c>
      <c r="I111" s="20"/>
      <c r="J111" s="20"/>
      <c r="K111" s="20"/>
    </row>
    <row r="112" spans="1:11" x14ac:dyDescent="0.25">
      <c r="A112" s="20"/>
      <c r="B112" s="20"/>
      <c r="C112" s="20"/>
      <c r="D112" s="20"/>
      <c r="E112" s="20"/>
      <c r="F112" s="20"/>
      <c r="G112" s="17">
        <v>22117</v>
      </c>
      <c r="H112" s="17">
        <v>46346</v>
      </c>
      <c r="I112" s="20"/>
      <c r="J112" s="20"/>
      <c r="K112" s="20"/>
    </row>
    <row r="113" spans="1:11" x14ac:dyDescent="0.25">
      <c r="A113" s="20"/>
      <c r="B113" s="20"/>
      <c r="C113" s="20"/>
      <c r="D113" s="20"/>
      <c r="E113" s="20"/>
      <c r="F113" s="20"/>
      <c r="G113" s="17">
        <v>22118</v>
      </c>
      <c r="H113" s="17">
        <v>46347</v>
      </c>
      <c r="I113" s="20"/>
      <c r="J113" s="20"/>
      <c r="K113" s="20"/>
    </row>
    <row r="114" spans="1:11" x14ac:dyDescent="0.25">
      <c r="A114" s="20"/>
      <c r="B114" s="20"/>
      <c r="C114" s="20"/>
      <c r="D114" s="20"/>
      <c r="E114" s="20"/>
      <c r="F114" s="20"/>
      <c r="G114" s="17">
        <v>22119</v>
      </c>
      <c r="H114" s="17">
        <v>46348</v>
      </c>
      <c r="I114" s="20"/>
      <c r="J114" s="20"/>
      <c r="K114" s="20"/>
    </row>
    <row r="115" spans="1:11" x14ac:dyDescent="0.25">
      <c r="A115" s="20"/>
      <c r="B115" s="20"/>
      <c r="C115" s="20"/>
      <c r="D115" s="20"/>
      <c r="E115" s="20"/>
      <c r="F115" s="20"/>
      <c r="G115" s="17">
        <v>22120</v>
      </c>
      <c r="H115" s="17">
        <v>46349</v>
      </c>
      <c r="I115" s="20"/>
      <c r="J115" s="20"/>
      <c r="K115" s="20"/>
    </row>
    <row r="116" spans="1:11" x14ac:dyDescent="0.25">
      <c r="A116" s="20"/>
      <c r="B116" s="20"/>
      <c r="C116" s="20"/>
      <c r="D116" s="20"/>
      <c r="E116" s="20"/>
      <c r="F116" s="20"/>
      <c r="G116" s="17">
        <v>22121</v>
      </c>
      <c r="H116" s="17">
        <v>46350</v>
      </c>
      <c r="I116" s="20"/>
      <c r="J116" s="20"/>
      <c r="K116" s="20"/>
    </row>
    <row r="117" spans="1:11" x14ac:dyDescent="0.25">
      <c r="A117" s="20"/>
      <c r="B117" s="20"/>
      <c r="C117" s="20"/>
      <c r="D117" s="20"/>
      <c r="E117" s="20"/>
      <c r="F117" s="20"/>
      <c r="G117" s="17">
        <v>22122</v>
      </c>
      <c r="H117" s="17">
        <v>46351</v>
      </c>
      <c r="I117" s="20"/>
      <c r="J117" s="20"/>
      <c r="K117" s="20"/>
    </row>
    <row r="118" spans="1:11" x14ac:dyDescent="0.25">
      <c r="A118" s="20"/>
      <c r="B118" s="20"/>
      <c r="C118" s="20"/>
      <c r="D118" s="20"/>
      <c r="E118" s="20"/>
      <c r="F118" s="20"/>
      <c r="G118" s="17">
        <v>22123</v>
      </c>
      <c r="H118" s="17">
        <v>46352</v>
      </c>
      <c r="I118" s="20"/>
      <c r="J118" s="20"/>
      <c r="K118" s="20"/>
    </row>
    <row r="119" spans="1:11" x14ac:dyDescent="0.25">
      <c r="A119" s="20"/>
      <c r="B119" s="20"/>
      <c r="C119" s="20"/>
      <c r="D119" s="20"/>
      <c r="E119" s="20"/>
      <c r="F119" s="20"/>
      <c r="G119" s="17">
        <v>22124</v>
      </c>
      <c r="H119" s="17">
        <v>46353</v>
      </c>
      <c r="I119" s="20"/>
      <c r="J119" s="20"/>
      <c r="K119" s="20"/>
    </row>
    <row r="120" spans="1:11" x14ac:dyDescent="0.25">
      <c r="A120" s="20"/>
      <c r="B120" s="20"/>
      <c r="C120" s="20"/>
      <c r="D120" s="20"/>
      <c r="E120" s="20"/>
      <c r="F120" s="20"/>
      <c r="G120" s="17">
        <v>22125</v>
      </c>
      <c r="H120" s="17">
        <v>46354</v>
      </c>
      <c r="I120" s="20"/>
      <c r="J120" s="20"/>
      <c r="K120" s="20"/>
    </row>
    <row r="121" spans="1:11" x14ac:dyDescent="0.25">
      <c r="A121" s="20"/>
      <c r="B121" s="20"/>
      <c r="C121" s="20"/>
      <c r="D121" s="20"/>
      <c r="E121" s="20"/>
      <c r="F121" s="20"/>
      <c r="G121" s="17">
        <v>22126</v>
      </c>
      <c r="H121" s="17">
        <v>46355</v>
      </c>
      <c r="I121" s="20"/>
      <c r="J121" s="20"/>
      <c r="K121" s="20"/>
    </row>
    <row r="122" spans="1:11" x14ac:dyDescent="0.25">
      <c r="A122" s="20"/>
      <c r="B122" s="20"/>
      <c r="C122" s="20"/>
      <c r="D122" s="20"/>
      <c r="E122" s="20"/>
      <c r="F122" s="20"/>
      <c r="G122" s="17">
        <v>22127</v>
      </c>
      <c r="H122" s="17">
        <v>46356</v>
      </c>
      <c r="I122" s="20"/>
      <c r="J122" s="20"/>
      <c r="K122" s="20"/>
    </row>
    <row r="123" spans="1:11" x14ac:dyDescent="0.25">
      <c r="A123" s="20"/>
      <c r="B123" s="20"/>
      <c r="C123" s="20"/>
      <c r="D123" s="20"/>
      <c r="E123" s="20"/>
      <c r="F123" s="20"/>
      <c r="G123" s="17">
        <v>22128</v>
      </c>
      <c r="H123" s="17">
        <v>46356</v>
      </c>
      <c r="I123" s="20"/>
      <c r="J123" s="20"/>
      <c r="K123" s="20"/>
    </row>
    <row r="124" spans="1:11" x14ac:dyDescent="0.25">
      <c r="A124" s="20"/>
      <c r="B124" s="20"/>
      <c r="C124" s="20"/>
      <c r="D124" s="20"/>
      <c r="E124" s="20"/>
      <c r="F124" s="20"/>
      <c r="G124" s="17">
        <v>22129</v>
      </c>
      <c r="H124" s="17">
        <v>46357</v>
      </c>
      <c r="I124" s="20"/>
      <c r="J124" s="20"/>
      <c r="K124" s="20"/>
    </row>
    <row r="125" spans="1:11" x14ac:dyDescent="0.25">
      <c r="A125" s="20"/>
      <c r="B125" s="20"/>
      <c r="C125" s="20"/>
      <c r="D125" s="20"/>
      <c r="E125" s="20"/>
      <c r="F125" s="20"/>
      <c r="G125" s="17">
        <v>22130</v>
      </c>
      <c r="H125" s="17">
        <v>46358</v>
      </c>
      <c r="I125" s="20"/>
      <c r="J125" s="20"/>
      <c r="K125" s="20"/>
    </row>
    <row r="126" spans="1:11" x14ac:dyDescent="0.25">
      <c r="A126" s="20"/>
      <c r="B126" s="20"/>
      <c r="C126" s="20"/>
      <c r="D126" s="20"/>
      <c r="E126" s="20"/>
      <c r="F126" s="20"/>
      <c r="G126" s="17">
        <v>22131</v>
      </c>
      <c r="H126" s="17">
        <v>46359</v>
      </c>
      <c r="I126" s="20"/>
      <c r="J126" s="20"/>
      <c r="K126" s="20"/>
    </row>
    <row r="127" spans="1:11" x14ac:dyDescent="0.25">
      <c r="A127" s="20"/>
      <c r="B127" s="20"/>
      <c r="C127" s="20"/>
      <c r="D127" s="20"/>
      <c r="E127" s="20"/>
      <c r="F127" s="20"/>
      <c r="G127" s="17">
        <v>22132</v>
      </c>
      <c r="H127" s="17">
        <v>46360</v>
      </c>
      <c r="I127" s="20"/>
      <c r="J127" s="20"/>
      <c r="K127" s="20"/>
    </row>
    <row r="128" spans="1:11" x14ac:dyDescent="0.25">
      <c r="A128" s="20"/>
      <c r="B128" s="20"/>
      <c r="C128" s="20"/>
      <c r="D128" s="20"/>
      <c r="E128" s="20"/>
      <c r="F128" s="20"/>
      <c r="G128" s="17">
        <v>22133</v>
      </c>
      <c r="H128" s="17">
        <v>46361</v>
      </c>
      <c r="I128" s="20"/>
      <c r="J128" s="20"/>
      <c r="K128" s="20"/>
    </row>
    <row r="129" spans="1:11" x14ac:dyDescent="0.25">
      <c r="A129" s="20"/>
      <c r="B129" s="20"/>
      <c r="C129" s="20"/>
      <c r="D129" s="20"/>
      <c r="E129" s="20"/>
      <c r="F129" s="20"/>
      <c r="G129" s="17">
        <v>22134</v>
      </c>
      <c r="H129" s="17">
        <v>46393</v>
      </c>
      <c r="I129" s="20"/>
      <c r="J129" s="20"/>
      <c r="K129" s="20"/>
    </row>
    <row r="130" spans="1:11" x14ac:dyDescent="0.25">
      <c r="A130" s="20"/>
      <c r="B130" s="20"/>
      <c r="C130" s="20"/>
      <c r="D130" s="20"/>
      <c r="E130" s="20"/>
      <c r="F130" s="20"/>
      <c r="G130" s="17">
        <v>22135</v>
      </c>
      <c r="H130" s="17">
        <v>46394</v>
      </c>
      <c r="I130" s="20"/>
      <c r="J130" s="20"/>
      <c r="K130" s="20"/>
    </row>
    <row r="131" spans="1:11" x14ac:dyDescent="0.25">
      <c r="A131" s="20"/>
      <c r="B131" s="20"/>
      <c r="C131" s="20"/>
      <c r="D131" s="20"/>
      <c r="E131" s="20"/>
      <c r="F131" s="20"/>
      <c r="G131" s="17">
        <v>22136</v>
      </c>
      <c r="H131" s="17">
        <v>46395</v>
      </c>
      <c r="I131" s="20"/>
      <c r="J131" s="20"/>
      <c r="K131" s="20"/>
    </row>
    <row r="132" spans="1:11" x14ac:dyDescent="0.25">
      <c r="A132" s="20"/>
      <c r="B132" s="20"/>
      <c r="C132" s="20"/>
      <c r="D132" s="20"/>
      <c r="E132" s="20"/>
      <c r="F132" s="20"/>
      <c r="G132" s="17">
        <v>22137</v>
      </c>
      <c r="H132" s="17">
        <v>46396</v>
      </c>
      <c r="I132" s="20"/>
      <c r="J132" s="20"/>
      <c r="K132" s="20"/>
    </row>
    <row r="133" spans="1:11" x14ac:dyDescent="0.25">
      <c r="A133" s="20"/>
      <c r="B133" s="20"/>
      <c r="C133" s="20"/>
      <c r="D133" s="20"/>
      <c r="E133" s="20"/>
      <c r="F133" s="20"/>
      <c r="G133" s="17">
        <v>22138</v>
      </c>
      <c r="H133" s="17">
        <v>46397</v>
      </c>
      <c r="I133" s="20"/>
      <c r="J133" s="20"/>
      <c r="K133" s="20"/>
    </row>
    <row r="134" spans="1:11" x14ac:dyDescent="0.25">
      <c r="A134" s="20"/>
      <c r="B134" s="20"/>
      <c r="C134" s="20"/>
      <c r="D134" s="20"/>
      <c r="E134" s="20"/>
      <c r="F134" s="20"/>
      <c r="G134" s="17">
        <v>22139</v>
      </c>
      <c r="H134" s="17">
        <v>46398</v>
      </c>
      <c r="I134" s="20"/>
      <c r="J134" s="20"/>
      <c r="K134" s="20"/>
    </row>
    <row r="135" spans="1:11" x14ac:dyDescent="0.25">
      <c r="A135" s="20"/>
      <c r="B135" s="20"/>
      <c r="C135" s="20"/>
      <c r="D135" s="20"/>
      <c r="E135" s="20"/>
      <c r="F135" s="20"/>
      <c r="G135" s="17">
        <v>22140</v>
      </c>
      <c r="H135" s="17">
        <v>46399</v>
      </c>
      <c r="I135" s="20"/>
      <c r="J135" s="20"/>
      <c r="K135" s="20"/>
    </row>
    <row r="136" spans="1:11" x14ac:dyDescent="0.25">
      <c r="A136" s="20"/>
      <c r="B136" s="20"/>
      <c r="C136" s="20"/>
      <c r="D136" s="20"/>
      <c r="E136" s="20"/>
      <c r="F136" s="20"/>
      <c r="G136" s="17">
        <v>22141</v>
      </c>
      <c r="H136" s="17">
        <v>46400</v>
      </c>
      <c r="I136" s="20"/>
      <c r="J136" s="20"/>
      <c r="K136" s="20"/>
    </row>
    <row r="137" spans="1:11" x14ac:dyDescent="0.25">
      <c r="A137" s="20"/>
      <c r="B137" s="20"/>
      <c r="C137" s="20"/>
      <c r="D137" s="20"/>
      <c r="E137" s="20"/>
      <c r="F137" s="20"/>
      <c r="G137" s="17">
        <v>22142</v>
      </c>
      <c r="H137" s="17">
        <v>46401</v>
      </c>
      <c r="I137" s="20"/>
      <c r="J137" s="20"/>
      <c r="K137" s="20"/>
    </row>
    <row r="138" spans="1:11" x14ac:dyDescent="0.25">
      <c r="A138" s="20"/>
      <c r="B138" s="20"/>
      <c r="C138" s="20"/>
      <c r="D138" s="20"/>
      <c r="E138" s="20"/>
      <c r="F138" s="20"/>
      <c r="G138" s="17">
        <v>22143</v>
      </c>
      <c r="H138" s="17">
        <v>46402</v>
      </c>
      <c r="I138" s="20"/>
      <c r="J138" s="20"/>
      <c r="K138" s="20"/>
    </row>
    <row r="139" spans="1:11" x14ac:dyDescent="0.25">
      <c r="A139" s="20"/>
      <c r="B139" s="20"/>
      <c r="C139" s="20"/>
      <c r="D139" s="20"/>
      <c r="E139" s="20"/>
      <c r="F139" s="20"/>
      <c r="G139" s="17">
        <v>22144</v>
      </c>
      <c r="H139" s="17">
        <v>46403</v>
      </c>
      <c r="I139" s="20"/>
      <c r="J139" s="20"/>
      <c r="K139" s="20"/>
    </row>
    <row r="140" spans="1:11" x14ac:dyDescent="0.25">
      <c r="A140" s="20"/>
      <c r="B140" s="20"/>
      <c r="C140" s="20"/>
      <c r="D140" s="20"/>
      <c r="E140" s="20"/>
      <c r="F140" s="20"/>
      <c r="G140" s="17">
        <v>22145</v>
      </c>
      <c r="H140" s="17">
        <v>46404</v>
      </c>
      <c r="I140" s="20"/>
      <c r="J140" s="20"/>
      <c r="K140" s="20"/>
    </row>
    <row r="141" spans="1:11" x14ac:dyDescent="0.25">
      <c r="A141" s="20"/>
      <c r="B141" s="20"/>
      <c r="C141" s="20"/>
      <c r="D141" s="20"/>
      <c r="E141" s="20"/>
      <c r="F141" s="20"/>
      <c r="G141" s="17">
        <v>22146</v>
      </c>
      <c r="H141" s="17">
        <v>46405</v>
      </c>
      <c r="I141" s="20"/>
      <c r="J141" s="20"/>
      <c r="K141" s="20"/>
    </row>
    <row r="142" spans="1:11" x14ac:dyDescent="0.25">
      <c r="A142" s="20"/>
      <c r="B142" s="20"/>
      <c r="C142" s="20"/>
      <c r="D142" s="20"/>
      <c r="E142" s="20"/>
      <c r="F142" s="20"/>
      <c r="G142" s="17">
        <v>22147</v>
      </c>
      <c r="H142" s="17">
        <v>46406</v>
      </c>
      <c r="I142" s="20"/>
      <c r="J142" s="20"/>
      <c r="K142" s="20"/>
    </row>
    <row r="143" spans="1:11" x14ac:dyDescent="0.25">
      <c r="A143" s="20"/>
      <c r="B143" s="20"/>
      <c r="C143" s="20"/>
      <c r="D143" s="20"/>
      <c r="E143" s="20"/>
      <c r="F143" s="20"/>
      <c r="G143" s="17">
        <v>22148</v>
      </c>
      <c r="H143" s="17">
        <v>46407</v>
      </c>
      <c r="I143" s="20"/>
      <c r="J143" s="20"/>
      <c r="K143" s="20"/>
    </row>
    <row r="144" spans="1:11" x14ac:dyDescent="0.25">
      <c r="A144" s="20"/>
      <c r="B144" s="20"/>
      <c r="C144" s="20"/>
      <c r="D144" s="20"/>
      <c r="E144" s="20"/>
      <c r="F144" s="20"/>
      <c r="G144" s="17">
        <v>22149</v>
      </c>
      <c r="H144" s="17">
        <v>46408</v>
      </c>
      <c r="I144" s="20"/>
      <c r="J144" s="20"/>
      <c r="K144" s="20"/>
    </row>
    <row r="145" spans="1:11" x14ac:dyDescent="0.25">
      <c r="A145" s="20"/>
      <c r="B145" s="20"/>
      <c r="C145" s="20"/>
      <c r="D145" s="20"/>
      <c r="E145" s="20"/>
      <c r="F145" s="20"/>
      <c r="G145" s="17">
        <v>22150</v>
      </c>
      <c r="H145" s="17">
        <v>46409</v>
      </c>
      <c r="I145" s="20"/>
      <c r="J145" s="20"/>
      <c r="K145" s="20"/>
    </row>
    <row r="146" spans="1:11" x14ac:dyDescent="0.25">
      <c r="A146" s="20"/>
      <c r="B146" s="20"/>
      <c r="C146" s="20"/>
      <c r="D146" s="20"/>
      <c r="E146" s="20"/>
      <c r="F146" s="20"/>
      <c r="G146" s="17">
        <v>22151</v>
      </c>
      <c r="H146" s="17">
        <v>46410</v>
      </c>
      <c r="I146" s="20"/>
      <c r="J146" s="20"/>
      <c r="K146" s="20"/>
    </row>
    <row r="147" spans="1:11" x14ac:dyDescent="0.25">
      <c r="A147" s="20"/>
      <c r="B147" s="20"/>
      <c r="C147" s="20"/>
      <c r="D147" s="20"/>
      <c r="E147" s="20"/>
      <c r="F147" s="20"/>
      <c r="G147" s="17">
        <v>22152</v>
      </c>
      <c r="H147" s="17">
        <v>46411</v>
      </c>
      <c r="I147" s="20"/>
      <c r="J147" s="20"/>
      <c r="K147" s="20"/>
    </row>
    <row r="148" spans="1:11" x14ac:dyDescent="0.25">
      <c r="A148" s="20"/>
      <c r="B148" s="20"/>
      <c r="C148" s="20"/>
      <c r="D148" s="20"/>
      <c r="E148" s="20"/>
      <c r="F148" s="20"/>
      <c r="G148" s="17">
        <v>22153</v>
      </c>
      <c r="H148" s="17">
        <v>46412</v>
      </c>
      <c r="I148" s="20"/>
      <c r="J148" s="20"/>
      <c r="K148" s="20"/>
    </row>
    <row r="149" spans="1:11" x14ac:dyDescent="0.25">
      <c r="A149" s="20"/>
      <c r="B149" s="20"/>
      <c r="C149" s="20"/>
      <c r="D149" s="20"/>
      <c r="E149" s="20"/>
      <c r="F149" s="20"/>
      <c r="G149" s="17">
        <v>22154</v>
      </c>
      <c r="H149" s="17">
        <v>46413</v>
      </c>
      <c r="I149" s="20"/>
      <c r="J149" s="20"/>
      <c r="K149" s="20"/>
    </row>
    <row r="150" spans="1:11" x14ac:dyDescent="0.25">
      <c r="A150" s="20"/>
      <c r="B150" s="20"/>
      <c r="C150" s="20"/>
      <c r="D150" s="20"/>
      <c r="E150" s="20"/>
      <c r="F150" s="20"/>
      <c r="G150" s="17">
        <v>22155</v>
      </c>
      <c r="H150" s="17">
        <v>46414</v>
      </c>
      <c r="I150" s="20"/>
      <c r="J150" s="20"/>
      <c r="K150" s="20"/>
    </row>
    <row r="151" spans="1:11" x14ac:dyDescent="0.25">
      <c r="A151" s="20"/>
      <c r="B151" s="20"/>
      <c r="C151" s="20"/>
      <c r="D151" s="20"/>
      <c r="E151" s="20"/>
      <c r="F151" s="20"/>
      <c r="G151" s="17">
        <v>22156</v>
      </c>
      <c r="H151" s="17">
        <v>46415</v>
      </c>
      <c r="I151" s="20"/>
      <c r="J151" s="20"/>
      <c r="K151" s="20"/>
    </row>
    <row r="152" spans="1:11" x14ac:dyDescent="0.25">
      <c r="A152" s="20"/>
      <c r="B152" s="20"/>
      <c r="C152" s="20"/>
      <c r="D152" s="20"/>
      <c r="E152" s="20"/>
      <c r="F152" s="20"/>
      <c r="G152" s="17">
        <v>22157</v>
      </c>
      <c r="H152" s="17">
        <v>46416</v>
      </c>
      <c r="I152" s="20"/>
      <c r="J152" s="20"/>
      <c r="K152" s="20"/>
    </row>
    <row r="153" spans="1:11" x14ac:dyDescent="0.25">
      <c r="A153" s="20"/>
      <c r="B153" s="20"/>
      <c r="C153" s="20"/>
      <c r="D153" s="20"/>
      <c r="E153" s="20"/>
      <c r="F153" s="20"/>
      <c r="G153" s="17">
        <v>22158</v>
      </c>
      <c r="H153" s="17">
        <v>46417</v>
      </c>
      <c r="I153" s="20"/>
      <c r="J153" s="20"/>
      <c r="K153" s="20"/>
    </row>
    <row r="154" spans="1:11" x14ac:dyDescent="0.25">
      <c r="A154" s="20"/>
      <c r="B154" s="20"/>
      <c r="C154" s="20"/>
      <c r="D154" s="20"/>
      <c r="E154" s="20"/>
      <c r="F154" s="20"/>
      <c r="G154" s="17">
        <v>22159</v>
      </c>
      <c r="H154" s="17">
        <v>46418</v>
      </c>
      <c r="I154" s="20"/>
      <c r="J154" s="20"/>
      <c r="K154" s="20"/>
    </row>
    <row r="155" spans="1:11" x14ac:dyDescent="0.25">
      <c r="A155" s="20"/>
      <c r="B155" s="20"/>
      <c r="C155" s="20"/>
      <c r="D155" s="20"/>
      <c r="E155" s="20"/>
      <c r="F155" s="20"/>
      <c r="G155" s="17">
        <v>22160</v>
      </c>
      <c r="H155" s="17">
        <v>46419</v>
      </c>
      <c r="I155" s="20"/>
      <c r="J155" s="20"/>
      <c r="K155" s="20"/>
    </row>
    <row r="156" spans="1:11" x14ac:dyDescent="0.25">
      <c r="A156" s="20"/>
      <c r="B156" s="20"/>
      <c r="C156" s="20"/>
      <c r="D156" s="20"/>
      <c r="E156" s="20"/>
      <c r="F156" s="20"/>
      <c r="G156" s="17">
        <v>22161</v>
      </c>
      <c r="H156" s="17">
        <v>46420</v>
      </c>
      <c r="I156" s="20"/>
      <c r="J156" s="20"/>
      <c r="K156" s="20"/>
    </row>
    <row r="157" spans="1:11" x14ac:dyDescent="0.25">
      <c r="A157" s="20"/>
      <c r="B157" s="20"/>
      <c r="C157" s="20"/>
      <c r="D157" s="20"/>
      <c r="E157" s="20"/>
      <c r="F157" s="20"/>
      <c r="G157" s="17">
        <v>22162</v>
      </c>
      <c r="H157" s="17">
        <v>46421</v>
      </c>
      <c r="I157" s="20"/>
      <c r="J157" s="20"/>
      <c r="K157" s="20"/>
    </row>
    <row r="158" spans="1:11" x14ac:dyDescent="0.25">
      <c r="A158" s="20"/>
      <c r="B158" s="20"/>
      <c r="C158" s="20"/>
      <c r="D158" s="20"/>
      <c r="E158" s="20"/>
      <c r="F158" s="20"/>
      <c r="G158" s="17">
        <v>22163</v>
      </c>
      <c r="H158" s="17">
        <v>46422</v>
      </c>
      <c r="I158" s="20"/>
      <c r="J158" s="20"/>
      <c r="K158" s="20"/>
    </row>
    <row r="159" spans="1:11" x14ac:dyDescent="0.25">
      <c r="A159" s="20"/>
      <c r="B159" s="20"/>
      <c r="C159" s="20"/>
      <c r="D159" s="20"/>
      <c r="E159" s="20"/>
      <c r="F159" s="20"/>
      <c r="G159" s="17">
        <v>22164</v>
      </c>
      <c r="H159" s="17">
        <v>46423</v>
      </c>
      <c r="I159" s="20"/>
      <c r="J159" s="20"/>
      <c r="K159" s="20"/>
    </row>
    <row r="160" spans="1:11" x14ac:dyDescent="0.25">
      <c r="A160" s="20"/>
      <c r="B160" s="20"/>
      <c r="C160" s="20"/>
      <c r="D160" s="20"/>
      <c r="E160" s="20"/>
      <c r="F160" s="20"/>
      <c r="G160" s="17">
        <v>22165</v>
      </c>
      <c r="H160" s="17">
        <v>46452</v>
      </c>
      <c r="I160" s="20"/>
      <c r="J160" s="20"/>
      <c r="K160" s="20"/>
    </row>
    <row r="161" spans="1:11" x14ac:dyDescent="0.25">
      <c r="A161" s="20"/>
      <c r="B161" s="20"/>
      <c r="C161" s="20"/>
      <c r="D161" s="20"/>
      <c r="E161" s="20"/>
      <c r="F161" s="20"/>
      <c r="G161" s="17">
        <v>22166</v>
      </c>
      <c r="H161" s="17">
        <v>46453</v>
      </c>
      <c r="I161" s="20"/>
      <c r="J161" s="20"/>
      <c r="K161" s="20"/>
    </row>
    <row r="162" spans="1:11" x14ac:dyDescent="0.25">
      <c r="A162" s="20"/>
      <c r="B162" s="20"/>
      <c r="C162" s="20"/>
      <c r="D162" s="20"/>
      <c r="E162" s="20"/>
      <c r="F162" s="20"/>
      <c r="G162" s="17">
        <v>22167</v>
      </c>
      <c r="H162" s="17">
        <v>46454</v>
      </c>
      <c r="I162" s="20"/>
      <c r="J162" s="20"/>
      <c r="K162" s="20"/>
    </row>
    <row r="163" spans="1:11" x14ac:dyDescent="0.25">
      <c r="A163" s="20"/>
      <c r="B163" s="20"/>
      <c r="C163" s="20"/>
      <c r="D163" s="20"/>
      <c r="E163" s="20"/>
      <c r="F163" s="20"/>
      <c r="G163" s="17">
        <v>22168</v>
      </c>
      <c r="H163" s="17">
        <v>46455</v>
      </c>
      <c r="I163" s="20"/>
      <c r="J163" s="20"/>
      <c r="K163" s="20"/>
    </row>
    <row r="164" spans="1:11" x14ac:dyDescent="0.25">
      <c r="A164" s="20"/>
      <c r="B164" s="20"/>
      <c r="C164" s="20"/>
      <c r="D164" s="20"/>
      <c r="E164" s="20"/>
      <c r="F164" s="20"/>
      <c r="G164" s="17">
        <v>22169</v>
      </c>
      <c r="H164" s="17">
        <v>46456</v>
      </c>
      <c r="I164" s="20"/>
      <c r="J164" s="20"/>
      <c r="K164" s="20"/>
    </row>
    <row r="165" spans="1:11" x14ac:dyDescent="0.25">
      <c r="A165" s="20"/>
      <c r="B165" s="20"/>
      <c r="C165" s="20"/>
      <c r="D165" s="20"/>
      <c r="E165" s="20"/>
      <c r="F165" s="20"/>
      <c r="G165" s="17">
        <v>22170</v>
      </c>
      <c r="H165" s="17">
        <v>46457</v>
      </c>
      <c r="I165" s="20"/>
      <c r="J165" s="20"/>
      <c r="K165" s="20"/>
    </row>
    <row r="166" spans="1:11" x14ac:dyDescent="0.25">
      <c r="A166" s="20"/>
      <c r="B166" s="20"/>
      <c r="C166" s="20"/>
      <c r="D166" s="20"/>
      <c r="E166" s="20"/>
      <c r="F166" s="20"/>
      <c r="G166" s="17">
        <v>22171</v>
      </c>
      <c r="H166" s="17">
        <v>46458</v>
      </c>
      <c r="I166" s="20"/>
      <c r="J166" s="20"/>
      <c r="K166" s="20"/>
    </row>
    <row r="167" spans="1:11" x14ac:dyDescent="0.25">
      <c r="A167" s="20"/>
      <c r="B167" s="20"/>
      <c r="C167" s="20"/>
      <c r="D167" s="20"/>
      <c r="E167" s="20"/>
      <c r="F167" s="20"/>
      <c r="G167" s="17">
        <v>22172</v>
      </c>
      <c r="H167" s="17">
        <v>46459</v>
      </c>
      <c r="I167" s="20"/>
      <c r="J167" s="20"/>
      <c r="K167" s="20"/>
    </row>
    <row r="168" spans="1:11" x14ac:dyDescent="0.25">
      <c r="A168" s="20"/>
      <c r="B168" s="20"/>
      <c r="C168" s="20"/>
      <c r="D168" s="20"/>
      <c r="E168" s="20"/>
      <c r="F168" s="20"/>
      <c r="G168" s="17">
        <v>22173</v>
      </c>
      <c r="H168" s="17">
        <v>46460</v>
      </c>
      <c r="I168" s="20"/>
      <c r="J168" s="20"/>
      <c r="K168" s="20"/>
    </row>
    <row r="169" spans="1:11" x14ac:dyDescent="0.25">
      <c r="A169" s="20"/>
      <c r="B169" s="20"/>
      <c r="C169" s="20"/>
      <c r="D169" s="20"/>
      <c r="E169" s="20"/>
      <c r="F169" s="20"/>
      <c r="G169" s="17">
        <v>22174</v>
      </c>
      <c r="H169" s="17">
        <v>46461</v>
      </c>
      <c r="I169" s="20"/>
      <c r="J169" s="20"/>
      <c r="K169" s="20"/>
    </row>
    <row r="170" spans="1:11" x14ac:dyDescent="0.25">
      <c r="A170" s="20"/>
      <c r="B170" s="20"/>
      <c r="C170" s="20"/>
      <c r="D170" s="20"/>
      <c r="E170" s="20"/>
      <c r="F170" s="20"/>
      <c r="G170" s="17">
        <v>22175</v>
      </c>
      <c r="H170" s="17">
        <v>46462</v>
      </c>
      <c r="I170" s="20"/>
      <c r="J170" s="20"/>
      <c r="K170" s="20"/>
    </row>
    <row r="171" spans="1:11" x14ac:dyDescent="0.25">
      <c r="A171" s="20"/>
      <c r="B171" s="20"/>
      <c r="C171" s="20"/>
      <c r="D171" s="20"/>
      <c r="E171" s="20"/>
      <c r="F171" s="20"/>
      <c r="G171" s="17">
        <v>22176</v>
      </c>
      <c r="H171" s="17">
        <v>46463</v>
      </c>
      <c r="I171" s="20"/>
      <c r="J171" s="20"/>
      <c r="K171" s="20"/>
    </row>
    <row r="172" spans="1:11" x14ac:dyDescent="0.25">
      <c r="A172" s="20"/>
      <c r="B172" s="20"/>
      <c r="C172" s="20"/>
      <c r="D172" s="20"/>
      <c r="E172" s="20"/>
      <c r="F172" s="20"/>
      <c r="G172" s="17">
        <v>22177</v>
      </c>
      <c r="H172" s="17">
        <v>46464</v>
      </c>
      <c r="I172" s="20"/>
      <c r="J172" s="20"/>
      <c r="K172" s="20"/>
    </row>
    <row r="173" spans="1:11" x14ac:dyDescent="0.25">
      <c r="A173" s="20"/>
      <c r="B173" s="20"/>
      <c r="C173" s="20"/>
      <c r="D173" s="20"/>
      <c r="E173" s="20"/>
      <c r="F173" s="20"/>
      <c r="G173" s="17">
        <v>22178</v>
      </c>
      <c r="H173" s="17">
        <v>46465</v>
      </c>
      <c r="I173" s="20"/>
      <c r="J173" s="20"/>
      <c r="K173" s="20"/>
    </row>
    <row r="174" spans="1:11" x14ac:dyDescent="0.25">
      <c r="A174" s="20"/>
      <c r="B174" s="20"/>
      <c r="C174" s="20"/>
      <c r="D174" s="20"/>
      <c r="E174" s="20"/>
      <c r="F174" s="20"/>
      <c r="G174" s="17">
        <v>22179</v>
      </c>
      <c r="H174" s="17">
        <v>46466</v>
      </c>
      <c r="I174" s="20"/>
      <c r="J174" s="20"/>
      <c r="K174" s="20"/>
    </row>
    <row r="175" spans="1:11" x14ac:dyDescent="0.25">
      <c r="A175" s="20"/>
      <c r="B175" s="20"/>
      <c r="C175" s="20"/>
      <c r="D175" s="20"/>
      <c r="E175" s="20"/>
      <c r="F175" s="20"/>
      <c r="G175" s="17">
        <v>22180</v>
      </c>
      <c r="H175" s="17">
        <v>46467</v>
      </c>
      <c r="I175" s="20"/>
      <c r="J175" s="20"/>
      <c r="K175" s="20"/>
    </row>
    <row r="176" spans="1:11" x14ac:dyDescent="0.25">
      <c r="A176" s="20"/>
      <c r="B176" s="20"/>
      <c r="C176" s="20"/>
      <c r="D176" s="20"/>
      <c r="E176" s="20"/>
      <c r="F176" s="20"/>
      <c r="G176" s="17">
        <v>22181</v>
      </c>
      <c r="H176" s="17">
        <v>46468</v>
      </c>
      <c r="I176" s="20"/>
      <c r="J176" s="20"/>
      <c r="K176" s="20"/>
    </row>
    <row r="177" spans="1:11" x14ac:dyDescent="0.25">
      <c r="A177" s="20"/>
      <c r="B177" s="20"/>
      <c r="C177" s="20"/>
      <c r="D177" s="20"/>
      <c r="E177" s="20"/>
      <c r="F177" s="20"/>
      <c r="G177" s="17">
        <v>22182</v>
      </c>
      <c r="H177" s="17">
        <v>46469</v>
      </c>
      <c r="I177" s="20"/>
      <c r="J177" s="20"/>
      <c r="K177" s="20"/>
    </row>
    <row r="178" spans="1:11" x14ac:dyDescent="0.25">
      <c r="A178" s="20"/>
      <c r="B178" s="20"/>
      <c r="C178" s="20"/>
      <c r="D178" s="20"/>
      <c r="E178" s="20"/>
      <c r="F178" s="20"/>
      <c r="G178" s="17">
        <v>22183</v>
      </c>
      <c r="H178" s="17">
        <v>46470</v>
      </c>
      <c r="I178" s="20"/>
      <c r="J178" s="20"/>
      <c r="K178" s="20"/>
    </row>
    <row r="179" spans="1:11" x14ac:dyDescent="0.25">
      <c r="A179" s="20"/>
      <c r="B179" s="20"/>
      <c r="C179" s="20"/>
      <c r="D179" s="20"/>
      <c r="E179" s="20"/>
      <c r="F179" s="20"/>
      <c r="G179" s="17">
        <v>22184</v>
      </c>
      <c r="H179" s="17">
        <v>46471</v>
      </c>
      <c r="I179" s="20"/>
      <c r="J179" s="20"/>
      <c r="K179" s="20"/>
    </row>
    <row r="180" spans="1:11" x14ac:dyDescent="0.25">
      <c r="A180" s="20"/>
      <c r="B180" s="20"/>
      <c r="C180" s="20"/>
      <c r="D180" s="20"/>
      <c r="E180" s="20"/>
      <c r="F180" s="20"/>
      <c r="G180" s="17">
        <v>22185</v>
      </c>
      <c r="H180" s="17">
        <v>46472</v>
      </c>
      <c r="I180" s="20"/>
      <c r="J180" s="20"/>
      <c r="K180" s="20"/>
    </row>
    <row r="181" spans="1:11" x14ac:dyDescent="0.25">
      <c r="A181" s="20"/>
      <c r="B181" s="20"/>
      <c r="C181" s="20"/>
      <c r="D181" s="20"/>
      <c r="E181" s="20"/>
      <c r="F181" s="20"/>
      <c r="G181" s="17">
        <v>22186</v>
      </c>
      <c r="H181" s="17">
        <v>46473</v>
      </c>
      <c r="I181" s="20"/>
      <c r="J181" s="20"/>
      <c r="K181" s="20"/>
    </row>
    <row r="182" spans="1:11" x14ac:dyDescent="0.25">
      <c r="A182" s="20"/>
      <c r="B182" s="20"/>
      <c r="C182" s="20"/>
      <c r="D182" s="20"/>
      <c r="E182" s="20"/>
      <c r="F182" s="20"/>
      <c r="G182" s="17">
        <v>22187</v>
      </c>
      <c r="H182" s="17">
        <v>46474</v>
      </c>
      <c r="I182" s="20"/>
      <c r="J182" s="20"/>
      <c r="K182" s="20"/>
    </row>
    <row r="183" spans="1:11" x14ac:dyDescent="0.25">
      <c r="A183" s="20"/>
      <c r="B183" s="20"/>
      <c r="C183" s="20"/>
      <c r="D183" s="20"/>
      <c r="E183" s="20"/>
      <c r="F183" s="20"/>
      <c r="G183" s="17">
        <v>22188</v>
      </c>
      <c r="H183" s="17">
        <v>46475</v>
      </c>
      <c r="I183" s="20"/>
      <c r="J183" s="20"/>
      <c r="K183" s="20"/>
    </row>
    <row r="184" spans="1:11" x14ac:dyDescent="0.25">
      <c r="A184" s="20"/>
      <c r="B184" s="20"/>
      <c r="C184" s="20"/>
      <c r="D184" s="20"/>
      <c r="E184" s="20"/>
      <c r="F184" s="20"/>
      <c r="G184" s="17">
        <v>22189</v>
      </c>
      <c r="H184" s="17">
        <v>46476</v>
      </c>
      <c r="I184" s="20"/>
      <c r="J184" s="20"/>
      <c r="K184" s="20"/>
    </row>
    <row r="185" spans="1:11" x14ac:dyDescent="0.25">
      <c r="A185" s="20"/>
      <c r="B185" s="20"/>
      <c r="C185" s="20"/>
      <c r="D185" s="20"/>
      <c r="E185" s="20"/>
      <c r="F185" s="20"/>
      <c r="G185" s="17">
        <v>22190</v>
      </c>
      <c r="H185" s="17">
        <v>46478</v>
      </c>
      <c r="I185" s="20"/>
      <c r="J185" s="20"/>
      <c r="K185" s="20"/>
    </row>
    <row r="186" spans="1:11" x14ac:dyDescent="0.25">
      <c r="A186" s="20"/>
      <c r="B186" s="20"/>
      <c r="C186" s="20"/>
      <c r="D186" s="20"/>
      <c r="E186" s="20"/>
      <c r="F186" s="20"/>
      <c r="G186" s="17">
        <v>22191</v>
      </c>
      <c r="H186" s="17">
        <v>46479</v>
      </c>
      <c r="I186" s="20"/>
      <c r="J186" s="20"/>
      <c r="K186" s="20"/>
    </row>
    <row r="187" spans="1:11" x14ac:dyDescent="0.25">
      <c r="A187" s="20"/>
      <c r="B187" s="20"/>
      <c r="C187" s="20"/>
      <c r="D187" s="20"/>
      <c r="E187" s="20"/>
      <c r="F187" s="20"/>
      <c r="G187" s="17">
        <v>22192</v>
      </c>
      <c r="H187" s="17">
        <v>46480</v>
      </c>
      <c r="I187" s="20"/>
      <c r="J187" s="20"/>
      <c r="K187" s="20"/>
    </row>
    <row r="188" spans="1:11" x14ac:dyDescent="0.25">
      <c r="A188" s="20"/>
      <c r="B188" s="20"/>
      <c r="C188" s="20"/>
      <c r="D188" s="20"/>
      <c r="E188" s="20"/>
      <c r="F188" s="20"/>
      <c r="G188" s="17">
        <v>22193</v>
      </c>
      <c r="H188" s="17">
        <v>46481</v>
      </c>
      <c r="I188" s="20"/>
      <c r="J188" s="20"/>
      <c r="K188" s="20"/>
    </row>
    <row r="189" spans="1:11" x14ac:dyDescent="0.25">
      <c r="A189" s="20"/>
      <c r="B189" s="20"/>
      <c r="C189" s="20"/>
      <c r="D189" s="20"/>
      <c r="E189" s="20"/>
      <c r="F189" s="20"/>
      <c r="G189" s="17">
        <v>22194</v>
      </c>
      <c r="H189" s="17">
        <v>46482</v>
      </c>
      <c r="I189" s="20"/>
      <c r="J189" s="20"/>
      <c r="K189" s="20"/>
    </row>
    <row r="190" spans="1:11" x14ac:dyDescent="0.25">
      <c r="A190" s="20"/>
      <c r="B190" s="20"/>
      <c r="C190" s="20"/>
      <c r="D190" s="20"/>
      <c r="E190" s="20"/>
      <c r="F190" s="20"/>
      <c r="G190" s="17">
        <v>22195</v>
      </c>
      <c r="H190" s="17">
        <v>46513</v>
      </c>
      <c r="I190" s="20"/>
      <c r="J190" s="20"/>
      <c r="K190" s="20"/>
    </row>
    <row r="191" spans="1:11" x14ac:dyDescent="0.25">
      <c r="A191" s="20"/>
      <c r="B191" s="20"/>
      <c r="C191" s="20"/>
      <c r="D191" s="20"/>
      <c r="E191" s="20"/>
      <c r="F191" s="20"/>
      <c r="G191" s="17">
        <v>22196</v>
      </c>
      <c r="H191" s="17">
        <v>46514</v>
      </c>
      <c r="I191" s="20"/>
      <c r="J191" s="20"/>
      <c r="K191" s="20"/>
    </row>
    <row r="192" spans="1:11" x14ac:dyDescent="0.25">
      <c r="A192" s="20"/>
      <c r="B192" s="20"/>
      <c r="C192" s="20"/>
      <c r="D192" s="20"/>
      <c r="E192" s="20"/>
      <c r="F192" s="20"/>
      <c r="G192" s="17">
        <v>22197</v>
      </c>
      <c r="H192" s="17">
        <v>46515</v>
      </c>
      <c r="I192" s="20"/>
      <c r="J192" s="20"/>
      <c r="K192" s="20"/>
    </row>
    <row r="193" spans="1:11" x14ac:dyDescent="0.25">
      <c r="A193" s="20"/>
      <c r="B193" s="20"/>
      <c r="C193" s="20"/>
      <c r="D193" s="20"/>
      <c r="E193" s="20"/>
      <c r="F193" s="20"/>
      <c r="G193" s="17">
        <v>22198</v>
      </c>
      <c r="H193" s="17">
        <v>46516</v>
      </c>
      <c r="I193" s="20"/>
      <c r="J193" s="20"/>
      <c r="K193" s="20"/>
    </row>
    <row r="194" spans="1:11" x14ac:dyDescent="0.25">
      <c r="A194" s="20"/>
      <c r="B194" s="20"/>
      <c r="C194" s="20"/>
      <c r="D194" s="20"/>
      <c r="E194" s="20"/>
      <c r="F194" s="20"/>
      <c r="G194" s="17">
        <v>22199</v>
      </c>
      <c r="H194" s="17">
        <v>46517</v>
      </c>
      <c r="I194" s="20"/>
      <c r="J194" s="20"/>
      <c r="K194" s="20"/>
    </row>
    <row r="195" spans="1:11" x14ac:dyDescent="0.25">
      <c r="A195" s="20"/>
      <c r="B195" s="20"/>
      <c r="C195" s="20"/>
      <c r="D195" s="20"/>
      <c r="E195" s="20"/>
      <c r="F195" s="20"/>
      <c r="G195" s="17">
        <v>22200</v>
      </c>
      <c r="H195" s="17">
        <v>46518</v>
      </c>
      <c r="I195" s="20"/>
      <c r="J195" s="20"/>
      <c r="K195" s="20"/>
    </row>
    <row r="196" spans="1:11" x14ac:dyDescent="0.25">
      <c r="A196" s="20"/>
      <c r="B196" s="20"/>
      <c r="C196" s="20"/>
      <c r="D196" s="20"/>
      <c r="E196" s="20"/>
      <c r="F196" s="20"/>
      <c r="G196" s="17">
        <v>22201</v>
      </c>
      <c r="H196" s="17">
        <v>46519</v>
      </c>
      <c r="I196" s="20"/>
      <c r="J196" s="20"/>
      <c r="K196" s="20"/>
    </row>
    <row r="197" spans="1:11" x14ac:dyDescent="0.25">
      <c r="A197" s="20"/>
      <c r="B197" s="20"/>
      <c r="C197" s="20"/>
      <c r="D197" s="20"/>
      <c r="E197" s="20"/>
      <c r="F197" s="20"/>
      <c r="G197" s="17">
        <v>22202</v>
      </c>
      <c r="H197" s="17">
        <v>46520</v>
      </c>
      <c r="I197" s="20"/>
      <c r="J197" s="20"/>
      <c r="K197" s="20"/>
    </row>
    <row r="198" spans="1:11" x14ac:dyDescent="0.25">
      <c r="A198" s="20"/>
      <c r="B198" s="20"/>
      <c r="C198" s="20"/>
      <c r="D198" s="20"/>
      <c r="E198" s="20"/>
      <c r="F198" s="20"/>
      <c r="G198" s="17">
        <v>22203</v>
      </c>
      <c r="H198" s="17">
        <v>46521</v>
      </c>
      <c r="I198" s="20"/>
      <c r="J198" s="20"/>
      <c r="K198" s="20"/>
    </row>
    <row r="199" spans="1:11" x14ac:dyDescent="0.25">
      <c r="A199" s="20"/>
      <c r="B199" s="20"/>
      <c r="C199" s="20"/>
      <c r="D199" s="20"/>
      <c r="E199" s="20"/>
      <c r="F199" s="20"/>
      <c r="G199" s="17">
        <v>22204</v>
      </c>
      <c r="H199" s="17">
        <v>46522</v>
      </c>
      <c r="I199" s="20"/>
      <c r="J199" s="20"/>
      <c r="K199" s="20"/>
    </row>
    <row r="200" spans="1:11" x14ac:dyDescent="0.25">
      <c r="A200" s="20"/>
      <c r="B200" s="20"/>
      <c r="C200" s="20"/>
      <c r="D200" s="20"/>
      <c r="E200" s="20"/>
      <c r="F200" s="20"/>
      <c r="G200" s="17">
        <v>22205</v>
      </c>
      <c r="H200" s="17">
        <v>46523</v>
      </c>
      <c r="I200" s="20"/>
      <c r="J200" s="20"/>
      <c r="K200" s="20"/>
    </row>
    <row r="201" spans="1:11" x14ac:dyDescent="0.25">
      <c r="A201" s="20"/>
      <c r="B201" s="20"/>
      <c r="C201" s="20"/>
      <c r="D201" s="20"/>
      <c r="E201" s="20"/>
      <c r="F201" s="20"/>
      <c r="G201" s="17">
        <v>22206</v>
      </c>
      <c r="H201" s="17">
        <v>46524</v>
      </c>
      <c r="I201" s="20"/>
      <c r="J201" s="20"/>
      <c r="K201" s="20"/>
    </row>
    <row r="202" spans="1:11" x14ac:dyDescent="0.25">
      <c r="A202" s="20"/>
      <c r="B202" s="20"/>
      <c r="C202" s="20"/>
      <c r="D202" s="20"/>
      <c r="E202" s="20"/>
      <c r="F202" s="20"/>
      <c r="G202" s="17">
        <v>22207</v>
      </c>
      <c r="H202" s="17">
        <v>46525</v>
      </c>
      <c r="I202" s="20"/>
      <c r="J202" s="20"/>
      <c r="K202" s="20"/>
    </row>
    <row r="203" spans="1:11" x14ac:dyDescent="0.25">
      <c r="A203" s="20"/>
      <c r="B203" s="20"/>
      <c r="C203" s="20"/>
      <c r="D203" s="20"/>
      <c r="E203" s="20"/>
      <c r="F203" s="20"/>
      <c r="G203" s="17">
        <v>22208</v>
      </c>
      <c r="H203" s="17">
        <v>46526</v>
      </c>
      <c r="I203" s="20"/>
      <c r="J203" s="20"/>
      <c r="K203" s="20"/>
    </row>
    <row r="204" spans="1:11" x14ac:dyDescent="0.25">
      <c r="A204" s="20"/>
      <c r="B204" s="20"/>
      <c r="C204" s="20"/>
      <c r="D204" s="20"/>
      <c r="E204" s="20"/>
      <c r="F204" s="20"/>
      <c r="G204" s="17">
        <v>22209</v>
      </c>
      <c r="H204" s="17">
        <v>46527</v>
      </c>
      <c r="I204" s="20"/>
      <c r="J204" s="20"/>
      <c r="K204" s="20"/>
    </row>
    <row r="205" spans="1:11" x14ac:dyDescent="0.25">
      <c r="A205" s="20"/>
      <c r="B205" s="20"/>
      <c r="C205" s="20"/>
      <c r="D205" s="20"/>
      <c r="E205" s="20"/>
      <c r="F205" s="20"/>
      <c r="G205" s="17">
        <v>22210</v>
      </c>
      <c r="H205" s="17">
        <v>46528</v>
      </c>
      <c r="I205" s="20"/>
      <c r="J205" s="20"/>
      <c r="K205" s="20"/>
    </row>
    <row r="206" spans="1:11" x14ac:dyDescent="0.25">
      <c r="A206" s="20"/>
      <c r="B206" s="20"/>
      <c r="C206" s="20"/>
      <c r="D206" s="20"/>
      <c r="E206" s="20"/>
      <c r="F206" s="20"/>
      <c r="G206" s="17">
        <v>22211</v>
      </c>
      <c r="H206" s="17">
        <v>46529</v>
      </c>
      <c r="I206" s="20"/>
      <c r="J206" s="20"/>
      <c r="K206" s="20"/>
    </row>
    <row r="207" spans="1:11" x14ac:dyDescent="0.25">
      <c r="A207" s="20"/>
      <c r="B207" s="20"/>
      <c r="C207" s="20"/>
      <c r="D207" s="20"/>
      <c r="E207" s="20"/>
      <c r="F207" s="20"/>
      <c r="G207" s="17">
        <v>22212</v>
      </c>
      <c r="H207" s="17">
        <v>46530</v>
      </c>
      <c r="I207" s="20"/>
      <c r="J207" s="20"/>
      <c r="K207" s="20"/>
    </row>
    <row r="208" spans="1:11" x14ac:dyDescent="0.25">
      <c r="A208" s="20"/>
      <c r="B208" s="20"/>
      <c r="C208" s="20"/>
      <c r="D208" s="20"/>
      <c r="E208" s="20"/>
      <c r="F208" s="20"/>
      <c r="G208" s="17">
        <v>22213</v>
      </c>
      <c r="H208" s="17">
        <v>46531</v>
      </c>
      <c r="I208" s="20"/>
      <c r="J208" s="20"/>
      <c r="K208" s="20"/>
    </row>
    <row r="209" spans="1:11" x14ac:dyDescent="0.25">
      <c r="A209" s="20"/>
      <c r="B209" s="20"/>
      <c r="C209" s="20"/>
      <c r="D209" s="20"/>
      <c r="E209" s="20"/>
      <c r="F209" s="20"/>
      <c r="G209" s="17">
        <v>22214</v>
      </c>
      <c r="H209" s="17">
        <v>46532</v>
      </c>
      <c r="I209" s="20"/>
      <c r="J209" s="20"/>
      <c r="K209" s="20"/>
    </row>
    <row r="210" spans="1:11" x14ac:dyDescent="0.25">
      <c r="A210" s="20"/>
      <c r="B210" s="20"/>
      <c r="C210" s="20"/>
      <c r="D210" s="20"/>
      <c r="E210" s="20"/>
      <c r="F210" s="20"/>
      <c r="G210" s="17">
        <v>22215</v>
      </c>
      <c r="H210" s="17">
        <v>46533</v>
      </c>
      <c r="I210" s="20"/>
      <c r="J210" s="20"/>
      <c r="K210" s="20"/>
    </row>
    <row r="211" spans="1:11" x14ac:dyDescent="0.25">
      <c r="A211" s="20"/>
      <c r="B211" s="20"/>
      <c r="C211" s="20"/>
      <c r="D211" s="20"/>
      <c r="E211" s="20"/>
      <c r="F211" s="20"/>
      <c r="G211" s="17">
        <v>22216</v>
      </c>
      <c r="H211" s="17">
        <v>46534</v>
      </c>
      <c r="I211" s="20"/>
      <c r="J211" s="20"/>
      <c r="K211" s="20"/>
    </row>
    <row r="212" spans="1:11" x14ac:dyDescent="0.25">
      <c r="A212" s="20"/>
      <c r="B212" s="20"/>
      <c r="C212" s="20"/>
      <c r="D212" s="20"/>
      <c r="E212" s="20"/>
      <c r="F212" s="20"/>
      <c r="G212" s="17">
        <v>22217</v>
      </c>
      <c r="H212" s="17">
        <v>46535</v>
      </c>
      <c r="I212" s="20"/>
      <c r="J212" s="20"/>
      <c r="K212" s="20"/>
    </row>
    <row r="213" spans="1:11" x14ac:dyDescent="0.25">
      <c r="A213" s="20"/>
      <c r="B213" s="20"/>
      <c r="C213" s="20"/>
      <c r="D213" s="20"/>
      <c r="E213" s="20"/>
      <c r="F213" s="20"/>
      <c r="G213" s="17">
        <v>22218</v>
      </c>
      <c r="H213" s="17">
        <v>46536</v>
      </c>
      <c r="I213" s="20"/>
      <c r="J213" s="20"/>
      <c r="K213" s="20"/>
    </row>
    <row r="214" spans="1:11" x14ac:dyDescent="0.25">
      <c r="A214" s="20"/>
      <c r="B214" s="20"/>
      <c r="C214" s="20"/>
      <c r="D214" s="20"/>
      <c r="E214" s="20"/>
      <c r="F214" s="20"/>
      <c r="G214" s="17">
        <v>22219</v>
      </c>
      <c r="H214" s="17">
        <v>46537</v>
      </c>
      <c r="I214" s="20"/>
      <c r="J214" s="20"/>
      <c r="K214" s="20"/>
    </row>
    <row r="215" spans="1:11" x14ac:dyDescent="0.25">
      <c r="A215" s="20"/>
      <c r="B215" s="20"/>
      <c r="C215" s="20"/>
      <c r="D215" s="20"/>
      <c r="E215" s="20"/>
      <c r="F215" s="20"/>
      <c r="G215" s="17">
        <v>22220</v>
      </c>
      <c r="H215" s="17">
        <v>46538</v>
      </c>
      <c r="I215" s="20"/>
      <c r="J215" s="20"/>
      <c r="K215" s="20"/>
    </row>
    <row r="216" spans="1:11" x14ac:dyDescent="0.25">
      <c r="A216" s="20"/>
      <c r="B216" s="20"/>
      <c r="C216" s="20"/>
      <c r="D216" s="20"/>
      <c r="E216" s="20"/>
      <c r="F216" s="20"/>
      <c r="G216" s="17">
        <v>22221</v>
      </c>
      <c r="H216" s="17">
        <v>46539</v>
      </c>
      <c r="I216" s="20"/>
      <c r="J216" s="20"/>
      <c r="K216" s="20"/>
    </row>
    <row r="217" spans="1:11" x14ac:dyDescent="0.25">
      <c r="A217" s="20"/>
      <c r="B217" s="20"/>
      <c r="C217" s="20"/>
      <c r="D217" s="20"/>
      <c r="E217" s="20"/>
      <c r="F217" s="20"/>
      <c r="G217" s="17">
        <v>22222</v>
      </c>
      <c r="H217" s="17">
        <v>46540</v>
      </c>
      <c r="I217" s="20"/>
      <c r="J217" s="20"/>
      <c r="K217" s="20"/>
    </row>
    <row r="218" spans="1:11" x14ac:dyDescent="0.25">
      <c r="A218" s="20"/>
      <c r="B218" s="20"/>
      <c r="C218" s="20"/>
      <c r="D218" s="20"/>
      <c r="E218" s="20"/>
      <c r="F218" s="20"/>
      <c r="G218" s="17">
        <v>22223</v>
      </c>
      <c r="H218" s="17">
        <v>46541</v>
      </c>
      <c r="I218" s="20"/>
      <c r="J218" s="20"/>
      <c r="K218" s="20"/>
    </row>
    <row r="219" spans="1:11" x14ac:dyDescent="0.25">
      <c r="A219" s="20"/>
      <c r="B219" s="20"/>
      <c r="C219" s="20"/>
      <c r="D219" s="20"/>
      <c r="E219" s="20"/>
      <c r="F219" s="20"/>
      <c r="G219" s="17">
        <v>22224</v>
      </c>
      <c r="H219" s="17">
        <v>46542</v>
      </c>
      <c r="I219" s="20"/>
      <c r="J219" s="20"/>
      <c r="K219" s="20"/>
    </row>
    <row r="220" spans="1:11" x14ac:dyDescent="0.25">
      <c r="A220" s="20"/>
      <c r="B220" s="20"/>
      <c r="C220" s="20"/>
      <c r="D220" s="20"/>
      <c r="E220" s="20"/>
      <c r="F220" s="20"/>
      <c r="G220" s="17">
        <v>22225</v>
      </c>
      <c r="H220" s="17">
        <v>46543</v>
      </c>
      <c r="I220" s="20"/>
      <c r="J220" s="20"/>
      <c r="K220" s="20"/>
    </row>
    <row r="221" spans="1:11" x14ac:dyDescent="0.25">
      <c r="A221" s="20"/>
      <c r="B221" s="20"/>
      <c r="C221" s="20"/>
      <c r="D221" s="20"/>
      <c r="E221" s="20"/>
      <c r="F221" s="20"/>
      <c r="G221" s="17">
        <v>22226</v>
      </c>
      <c r="H221" s="17">
        <v>46574</v>
      </c>
      <c r="I221" s="20"/>
      <c r="J221" s="20"/>
      <c r="K221" s="20"/>
    </row>
    <row r="222" spans="1:11" x14ac:dyDescent="0.25">
      <c r="A222" s="20"/>
      <c r="B222" s="20"/>
      <c r="C222" s="20"/>
      <c r="D222" s="20"/>
      <c r="E222" s="20"/>
      <c r="F222" s="20"/>
      <c r="G222" s="17">
        <v>22227</v>
      </c>
      <c r="H222" s="17">
        <v>46575</v>
      </c>
      <c r="I222" s="20"/>
      <c r="J222" s="20"/>
      <c r="K222" s="20"/>
    </row>
    <row r="223" spans="1:11" x14ac:dyDescent="0.25">
      <c r="A223" s="20"/>
      <c r="B223" s="20"/>
      <c r="C223" s="20"/>
      <c r="D223" s="20"/>
      <c r="E223" s="20"/>
      <c r="F223" s="20"/>
      <c r="G223" s="17">
        <v>22228</v>
      </c>
      <c r="H223" s="17">
        <v>46576</v>
      </c>
      <c r="I223" s="20"/>
      <c r="J223" s="20"/>
      <c r="K223" s="20"/>
    </row>
    <row r="224" spans="1:11" x14ac:dyDescent="0.25">
      <c r="A224" s="20"/>
      <c r="B224" s="20"/>
      <c r="C224" s="20"/>
      <c r="D224" s="20"/>
      <c r="E224" s="20"/>
      <c r="F224" s="20"/>
      <c r="G224" s="17">
        <v>22229</v>
      </c>
      <c r="H224" s="17">
        <v>46577</v>
      </c>
      <c r="I224" s="20"/>
      <c r="J224" s="20"/>
      <c r="K224" s="20"/>
    </row>
    <row r="225" spans="1:11" x14ac:dyDescent="0.25">
      <c r="A225" s="20"/>
      <c r="B225" s="20"/>
      <c r="C225" s="20"/>
      <c r="D225" s="20"/>
      <c r="E225" s="20"/>
      <c r="F225" s="20"/>
      <c r="G225" s="17">
        <v>22230</v>
      </c>
      <c r="H225" s="17">
        <v>46578</v>
      </c>
      <c r="I225" s="20"/>
      <c r="J225" s="20"/>
      <c r="K225" s="20"/>
    </row>
    <row r="226" spans="1:11" x14ac:dyDescent="0.25">
      <c r="A226" s="20"/>
      <c r="B226" s="20"/>
      <c r="C226" s="20"/>
      <c r="D226" s="20"/>
      <c r="E226" s="20"/>
      <c r="F226" s="20"/>
      <c r="G226" s="17">
        <v>22231</v>
      </c>
      <c r="H226" s="17">
        <v>46579</v>
      </c>
      <c r="I226" s="20"/>
      <c r="J226" s="20"/>
      <c r="K226" s="20"/>
    </row>
    <row r="227" spans="1:11" x14ac:dyDescent="0.25">
      <c r="A227" s="20"/>
      <c r="B227" s="20"/>
      <c r="C227" s="20"/>
      <c r="D227" s="20"/>
      <c r="E227" s="20"/>
      <c r="F227" s="20"/>
      <c r="G227" s="17">
        <v>22232</v>
      </c>
      <c r="H227" s="17">
        <v>46580</v>
      </c>
      <c r="I227" s="20"/>
      <c r="J227" s="20"/>
      <c r="K227" s="20"/>
    </row>
    <row r="228" spans="1:11" x14ac:dyDescent="0.25">
      <c r="A228" s="20"/>
      <c r="B228" s="20"/>
      <c r="C228" s="20"/>
      <c r="D228" s="20"/>
      <c r="E228" s="20"/>
      <c r="F228" s="20"/>
      <c r="G228" s="17">
        <v>22233</v>
      </c>
      <c r="H228" s="17">
        <v>46581</v>
      </c>
      <c r="I228" s="20"/>
      <c r="J228" s="20"/>
      <c r="K228" s="20"/>
    </row>
    <row r="229" spans="1:11" x14ac:dyDescent="0.25">
      <c r="A229" s="20"/>
      <c r="B229" s="20"/>
      <c r="C229" s="20"/>
      <c r="D229" s="20"/>
      <c r="E229" s="20"/>
      <c r="F229" s="20"/>
      <c r="G229" s="17">
        <v>22234</v>
      </c>
      <c r="H229" s="17">
        <v>46582</v>
      </c>
      <c r="I229" s="20"/>
      <c r="J229" s="20"/>
      <c r="K229" s="20"/>
    </row>
    <row r="230" spans="1:11" x14ac:dyDescent="0.25">
      <c r="A230" s="20"/>
      <c r="B230" s="20"/>
      <c r="C230" s="20"/>
      <c r="D230" s="20"/>
      <c r="E230" s="20"/>
      <c r="F230" s="20"/>
      <c r="G230" s="17">
        <v>22235</v>
      </c>
      <c r="H230" s="17">
        <v>46583</v>
      </c>
      <c r="I230" s="20"/>
      <c r="J230" s="20"/>
      <c r="K230" s="20"/>
    </row>
    <row r="231" spans="1:11" x14ac:dyDescent="0.25">
      <c r="A231" s="20"/>
      <c r="B231" s="20"/>
      <c r="C231" s="20"/>
      <c r="D231" s="20"/>
      <c r="E231" s="20"/>
      <c r="F231" s="20"/>
      <c r="G231" s="17">
        <v>22236</v>
      </c>
      <c r="H231" s="17">
        <v>46584</v>
      </c>
      <c r="I231" s="20"/>
      <c r="J231" s="20"/>
      <c r="K231" s="20"/>
    </row>
    <row r="232" spans="1:11" x14ac:dyDescent="0.25">
      <c r="A232" s="20"/>
      <c r="B232" s="20"/>
      <c r="C232" s="20"/>
      <c r="D232" s="20"/>
      <c r="E232" s="20"/>
      <c r="F232" s="20"/>
      <c r="G232" s="17">
        <v>22237</v>
      </c>
      <c r="H232" s="17">
        <v>46585</v>
      </c>
      <c r="I232" s="20"/>
      <c r="J232" s="20"/>
      <c r="K232" s="20"/>
    </row>
    <row r="233" spans="1:11" x14ac:dyDescent="0.25">
      <c r="A233" s="20"/>
      <c r="B233" s="20"/>
      <c r="C233" s="20"/>
      <c r="D233" s="20"/>
      <c r="E233" s="20"/>
      <c r="F233" s="20"/>
      <c r="G233" s="17">
        <v>22238</v>
      </c>
      <c r="H233" s="17">
        <v>46586</v>
      </c>
      <c r="I233" s="20"/>
      <c r="J233" s="20"/>
      <c r="K233" s="20"/>
    </row>
    <row r="234" spans="1:11" x14ac:dyDescent="0.25">
      <c r="A234" s="20"/>
      <c r="B234" s="20"/>
      <c r="C234" s="20"/>
      <c r="D234" s="20"/>
      <c r="E234" s="20"/>
      <c r="F234" s="20"/>
      <c r="G234" s="17">
        <v>22239</v>
      </c>
      <c r="H234" s="17">
        <v>46587</v>
      </c>
      <c r="I234" s="20"/>
      <c r="J234" s="20"/>
      <c r="K234" s="20"/>
    </row>
    <row r="235" spans="1:11" x14ac:dyDescent="0.25">
      <c r="A235" s="20"/>
      <c r="B235" s="20"/>
      <c r="C235" s="20"/>
      <c r="D235" s="20"/>
      <c r="E235" s="20"/>
      <c r="F235" s="20"/>
      <c r="G235" s="17">
        <v>22240</v>
      </c>
      <c r="H235" s="17">
        <v>46588</v>
      </c>
      <c r="I235" s="20"/>
      <c r="J235" s="20"/>
      <c r="K235" s="20"/>
    </row>
    <row r="236" spans="1:11" x14ac:dyDescent="0.25">
      <c r="A236" s="20"/>
      <c r="B236" s="20"/>
      <c r="C236" s="20"/>
      <c r="D236" s="20"/>
      <c r="E236" s="20"/>
      <c r="F236" s="20"/>
      <c r="G236" s="17">
        <v>22241</v>
      </c>
      <c r="H236" s="17">
        <v>46589</v>
      </c>
      <c r="I236" s="20"/>
      <c r="J236" s="20"/>
      <c r="K236" s="20"/>
    </row>
    <row r="237" spans="1:11" x14ac:dyDescent="0.25">
      <c r="A237" s="20"/>
      <c r="B237" s="20"/>
      <c r="C237" s="20"/>
      <c r="D237" s="20"/>
      <c r="E237" s="20"/>
      <c r="F237" s="20"/>
      <c r="G237" s="17">
        <v>22242</v>
      </c>
      <c r="H237" s="17">
        <v>46590</v>
      </c>
      <c r="I237" s="20"/>
      <c r="J237" s="20"/>
      <c r="K237" s="20"/>
    </row>
    <row r="238" spans="1:11" x14ac:dyDescent="0.25">
      <c r="A238" s="20"/>
      <c r="B238" s="20"/>
      <c r="C238" s="20"/>
      <c r="D238" s="20"/>
      <c r="E238" s="20"/>
      <c r="F238" s="20"/>
      <c r="G238" s="17">
        <v>22243</v>
      </c>
      <c r="H238" s="17">
        <v>46591</v>
      </c>
      <c r="I238" s="20"/>
      <c r="J238" s="20"/>
      <c r="K238" s="20"/>
    </row>
    <row r="239" spans="1:11" x14ac:dyDescent="0.25">
      <c r="A239" s="20"/>
      <c r="B239" s="20"/>
      <c r="C239" s="20"/>
      <c r="D239" s="20"/>
      <c r="E239" s="20"/>
      <c r="F239" s="20"/>
      <c r="G239" s="17">
        <v>22244</v>
      </c>
      <c r="H239" s="17">
        <v>46592</v>
      </c>
      <c r="I239" s="20"/>
      <c r="J239" s="20"/>
      <c r="K239" s="20"/>
    </row>
    <row r="240" spans="1:11" x14ac:dyDescent="0.25">
      <c r="A240" s="20"/>
      <c r="B240" s="20"/>
      <c r="C240" s="20"/>
      <c r="D240" s="20"/>
      <c r="E240" s="20"/>
      <c r="F240" s="20"/>
      <c r="G240" s="17">
        <v>22245</v>
      </c>
      <c r="H240" s="17">
        <v>46593</v>
      </c>
      <c r="I240" s="20"/>
      <c r="J240" s="20"/>
      <c r="K240" s="20"/>
    </row>
    <row r="241" spans="1:11" x14ac:dyDescent="0.25">
      <c r="A241" s="20"/>
      <c r="B241" s="20"/>
      <c r="C241" s="20"/>
      <c r="D241" s="20"/>
      <c r="E241" s="20"/>
      <c r="F241" s="20"/>
      <c r="G241" s="17">
        <v>22246</v>
      </c>
      <c r="H241" s="17">
        <v>46594</v>
      </c>
      <c r="I241" s="20"/>
      <c r="J241" s="20"/>
      <c r="K241" s="20"/>
    </row>
    <row r="242" spans="1:11" x14ac:dyDescent="0.25">
      <c r="A242" s="20"/>
      <c r="B242" s="20"/>
      <c r="C242" s="20"/>
      <c r="D242" s="20"/>
      <c r="E242" s="20"/>
      <c r="F242" s="20"/>
      <c r="G242" s="17">
        <v>22247</v>
      </c>
      <c r="H242" s="17">
        <v>46595</v>
      </c>
      <c r="I242" s="20"/>
      <c r="J242" s="20"/>
      <c r="K242" s="20"/>
    </row>
    <row r="243" spans="1:11" x14ac:dyDescent="0.25">
      <c r="A243" s="20"/>
      <c r="B243" s="20"/>
      <c r="C243" s="20"/>
      <c r="D243" s="20"/>
      <c r="E243" s="20"/>
      <c r="F243" s="20"/>
      <c r="G243" s="17">
        <v>22248</v>
      </c>
      <c r="H243" s="17">
        <v>46596</v>
      </c>
      <c r="I243" s="20"/>
      <c r="J243" s="20"/>
      <c r="K243" s="20"/>
    </row>
    <row r="244" spans="1:11" x14ac:dyDescent="0.25">
      <c r="A244" s="20"/>
      <c r="B244" s="20"/>
      <c r="C244" s="20"/>
      <c r="D244" s="20"/>
      <c r="E244" s="20"/>
      <c r="F244" s="20"/>
      <c r="G244" s="17">
        <v>22249</v>
      </c>
      <c r="H244" s="17">
        <v>46597</v>
      </c>
      <c r="I244" s="20"/>
      <c r="J244" s="20"/>
      <c r="K244" s="20"/>
    </row>
    <row r="245" spans="1:11" x14ac:dyDescent="0.25">
      <c r="A245" s="20"/>
      <c r="B245" s="20"/>
      <c r="C245" s="20"/>
      <c r="D245" s="20"/>
      <c r="E245" s="20"/>
      <c r="F245" s="20"/>
      <c r="G245" s="17">
        <v>22250</v>
      </c>
      <c r="H245" s="17">
        <v>46598</v>
      </c>
      <c r="I245" s="20"/>
      <c r="J245" s="20"/>
      <c r="K245" s="20"/>
    </row>
    <row r="246" spans="1:11" x14ac:dyDescent="0.25">
      <c r="A246" s="20"/>
      <c r="B246" s="20"/>
      <c r="C246" s="20"/>
      <c r="D246" s="20"/>
      <c r="E246" s="20"/>
      <c r="F246" s="20"/>
      <c r="G246" s="17">
        <v>22251</v>
      </c>
      <c r="H246" s="17">
        <v>46600</v>
      </c>
      <c r="I246" s="20"/>
      <c r="J246" s="20"/>
      <c r="K246" s="20"/>
    </row>
    <row r="247" spans="1:11" x14ac:dyDescent="0.25">
      <c r="A247" s="20"/>
      <c r="B247" s="20"/>
      <c r="C247" s="20"/>
      <c r="D247" s="20"/>
      <c r="E247" s="20"/>
      <c r="F247" s="20"/>
      <c r="G247" s="17">
        <v>22252</v>
      </c>
      <c r="H247" s="17">
        <v>46601</v>
      </c>
      <c r="I247" s="20"/>
      <c r="J247" s="20"/>
      <c r="K247" s="20"/>
    </row>
    <row r="248" spans="1:11" x14ac:dyDescent="0.25">
      <c r="A248" s="20"/>
      <c r="B248" s="20"/>
      <c r="C248" s="20"/>
      <c r="D248" s="20"/>
      <c r="E248" s="20"/>
      <c r="F248" s="20"/>
      <c r="G248" s="17">
        <v>22253</v>
      </c>
      <c r="H248" s="17">
        <v>46602</v>
      </c>
      <c r="I248" s="20"/>
      <c r="J248" s="20"/>
      <c r="K248" s="20"/>
    </row>
    <row r="249" spans="1:11" x14ac:dyDescent="0.25">
      <c r="A249" s="20"/>
      <c r="B249" s="20"/>
      <c r="C249" s="20"/>
      <c r="D249" s="20"/>
      <c r="E249" s="20"/>
      <c r="F249" s="20"/>
      <c r="G249" s="17">
        <v>22254</v>
      </c>
      <c r="H249" s="17">
        <v>46603</v>
      </c>
      <c r="I249" s="20"/>
      <c r="J249" s="20"/>
      <c r="K249" s="20"/>
    </row>
    <row r="250" spans="1:11" x14ac:dyDescent="0.25">
      <c r="A250" s="20"/>
      <c r="B250" s="20"/>
      <c r="C250" s="20"/>
      <c r="D250" s="20"/>
      <c r="E250" s="20"/>
      <c r="F250" s="20"/>
      <c r="G250" s="17">
        <v>22255</v>
      </c>
      <c r="H250" s="17">
        <v>46604</v>
      </c>
      <c r="I250" s="20"/>
      <c r="J250" s="20"/>
      <c r="K250" s="20"/>
    </row>
    <row r="251" spans="1:11" x14ac:dyDescent="0.25">
      <c r="A251" s="20"/>
      <c r="B251" s="20"/>
      <c r="C251" s="20"/>
      <c r="D251" s="20"/>
      <c r="E251" s="20"/>
      <c r="F251" s="20"/>
      <c r="G251" s="17">
        <v>22256</v>
      </c>
      <c r="H251" s="17">
        <v>46636</v>
      </c>
      <c r="I251" s="20"/>
      <c r="J251" s="20"/>
      <c r="K251" s="20"/>
    </row>
    <row r="252" spans="1:11" x14ac:dyDescent="0.25">
      <c r="A252" s="20"/>
      <c r="B252" s="20"/>
      <c r="C252" s="20"/>
      <c r="D252" s="20"/>
      <c r="E252" s="20"/>
      <c r="F252" s="20"/>
      <c r="G252" s="17">
        <v>22257</v>
      </c>
      <c r="H252" s="17">
        <v>46637</v>
      </c>
      <c r="I252" s="20"/>
      <c r="J252" s="20"/>
      <c r="K252" s="20"/>
    </row>
    <row r="253" spans="1:11" x14ac:dyDescent="0.25">
      <c r="A253" s="20"/>
      <c r="B253" s="20"/>
      <c r="C253" s="20"/>
      <c r="D253" s="20"/>
      <c r="E253" s="20"/>
      <c r="F253" s="20"/>
      <c r="G253" s="17">
        <v>22258</v>
      </c>
      <c r="H253" s="17">
        <v>46638</v>
      </c>
      <c r="I253" s="20"/>
      <c r="J253" s="20"/>
      <c r="K253" s="20"/>
    </row>
    <row r="254" spans="1:11" x14ac:dyDescent="0.25">
      <c r="A254" s="20"/>
      <c r="B254" s="20"/>
      <c r="C254" s="20"/>
      <c r="D254" s="20"/>
      <c r="E254" s="20"/>
      <c r="F254" s="20"/>
      <c r="G254" s="17">
        <v>22259</v>
      </c>
      <c r="H254" s="17">
        <v>46639</v>
      </c>
      <c r="I254" s="20"/>
      <c r="J254" s="20"/>
      <c r="K254" s="20"/>
    </row>
    <row r="255" spans="1:11" x14ac:dyDescent="0.25">
      <c r="A255" s="20"/>
      <c r="B255" s="20"/>
      <c r="C255" s="20"/>
      <c r="D255" s="20"/>
      <c r="E255" s="20"/>
      <c r="F255" s="20"/>
      <c r="G255" s="17">
        <v>22260</v>
      </c>
      <c r="H255" s="17">
        <v>46640</v>
      </c>
      <c r="I255" s="20"/>
      <c r="J255" s="20"/>
      <c r="K255" s="20"/>
    </row>
    <row r="256" spans="1:11" x14ac:dyDescent="0.25">
      <c r="A256" s="20"/>
      <c r="B256" s="20"/>
      <c r="C256" s="20"/>
      <c r="D256" s="20"/>
      <c r="E256" s="20"/>
      <c r="F256" s="20"/>
      <c r="G256" s="17">
        <v>22261</v>
      </c>
      <c r="H256" s="17">
        <v>46641</v>
      </c>
      <c r="I256" s="20"/>
      <c r="J256" s="20"/>
      <c r="K256" s="20"/>
    </row>
    <row r="257" spans="1:11" x14ac:dyDescent="0.25">
      <c r="A257" s="20"/>
      <c r="B257" s="20"/>
      <c r="C257" s="20"/>
      <c r="D257" s="20"/>
      <c r="E257" s="20"/>
      <c r="F257" s="20"/>
      <c r="G257" s="17">
        <v>22262</v>
      </c>
      <c r="H257" s="17">
        <v>46642</v>
      </c>
      <c r="I257" s="20"/>
      <c r="J257" s="20"/>
      <c r="K257" s="20"/>
    </row>
    <row r="258" spans="1:11" x14ac:dyDescent="0.25">
      <c r="A258" s="20"/>
      <c r="B258" s="20"/>
      <c r="C258" s="20"/>
      <c r="D258" s="20"/>
      <c r="E258" s="20"/>
      <c r="F258" s="20"/>
      <c r="G258" s="17">
        <v>22263</v>
      </c>
      <c r="H258" s="17">
        <v>46643</v>
      </c>
      <c r="I258" s="20"/>
      <c r="J258" s="20"/>
      <c r="K258" s="20"/>
    </row>
    <row r="259" spans="1:11" x14ac:dyDescent="0.25">
      <c r="A259" s="20"/>
      <c r="B259" s="20"/>
      <c r="C259" s="20"/>
      <c r="D259" s="20"/>
      <c r="E259" s="20"/>
      <c r="F259" s="20"/>
      <c r="G259" s="17">
        <v>22264</v>
      </c>
      <c r="H259" s="17">
        <v>46644</v>
      </c>
      <c r="I259" s="20"/>
      <c r="J259" s="20"/>
      <c r="K259" s="20"/>
    </row>
    <row r="260" spans="1:11" x14ac:dyDescent="0.25">
      <c r="A260" s="20"/>
      <c r="B260" s="20"/>
      <c r="C260" s="20"/>
      <c r="D260" s="20"/>
      <c r="E260" s="20"/>
      <c r="F260" s="20"/>
      <c r="G260" s="17">
        <v>22265</v>
      </c>
      <c r="H260" s="17">
        <v>46645</v>
      </c>
      <c r="I260" s="20"/>
      <c r="J260" s="20"/>
      <c r="K260" s="20"/>
    </row>
    <row r="261" spans="1:11" x14ac:dyDescent="0.25">
      <c r="A261" s="20"/>
      <c r="B261" s="20"/>
      <c r="C261" s="20"/>
      <c r="D261" s="20"/>
      <c r="E261" s="20"/>
      <c r="F261" s="20"/>
      <c r="G261" s="17">
        <v>22266</v>
      </c>
      <c r="H261" s="17">
        <v>46646</v>
      </c>
      <c r="I261" s="20"/>
      <c r="J261" s="20"/>
      <c r="K261" s="20"/>
    </row>
    <row r="262" spans="1:11" x14ac:dyDescent="0.25">
      <c r="A262" s="20"/>
      <c r="B262" s="20"/>
      <c r="C262" s="20"/>
      <c r="D262" s="20"/>
      <c r="E262" s="20"/>
      <c r="F262" s="20"/>
      <c r="G262" s="17">
        <v>22267</v>
      </c>
      <c r="H262" s="17">
        <v>46647</v>
      </c>
      <c r="I262" s="20"/>
      <c r="J262" s="20"/>
      <c r="K262" s="20"/>
    </row>
    <row r="263" spans="1:11" x14ac:dyDescent="0.25">
      <c r="A263" s="20"/>
      <c r="B263" s="20"/>
      <c r="C263" s="20"/>
      <c r="D263" s="20"/>
      <c r="E263" s="20"/>
      <c r="F263" s="20"/>
      <c r="G263" s="17">
        <v>22268</v>
      </c>
      <c r="H263" s="17">
        <v>46648</v>
      </c>
      <c r="I263" s="20"/>
      <c r="J263" s="20"/>
      <c r="K263" s="20"/>
    </row>
    <row r="264" spans="1:11" x14ac:dyDescent="0.25">
      <c r="A264" s="20"/>
      <c r="B264" s="20"/>
      <c r="C264" s="20"/>
      <c r="D264" s="20"/>
      <c r="E264" s="20"/>
      <c r="F264" s="20"/>
      <c r="G264" s="17">
        <v>22269</v>
      </c>
      <c r="H264" s="17">
        <v>46649</v>
      </c>
      <c r="I264" s="20"/>
      <c r="J264" s="20"/>
      <c r="K264" s="20"/>
    </row>
    <row r="265" spans="1:11" x14ac:dyDescent="0.25">
      <c r="A265" s="20"/>
      <c r="B265" s="20"/>
      <c r="C265" s="20"/>
      <c r="D265" s="20"/>
      <c r="E265" s="20"/>
      <c r="F265" s="20"/>
      <c r="G265" s="17">
        <v>22270</v>
      </c>
      <c r="H265" s="17">
        <v>46650</v>
      </c>
      <c r="I265" s="20"/>
      <c r="J265" s="20"/>
      <c r="K265" s="20"/>
    </row>
    <row r="266" spans="1:11" x14ac:dyDescent="0.25">
      <c r="A266" s="20"/>
      <c r="B266" s="20"/>
      <c r="C266" s="20"/>
      <c r="D266" s="20"/>
      <c r="E266" s="20"/>
      <c r="F266" s="20"/>
      <c r="G266" s="17">
        <v>22271</v>
      </c>
      <c r="H266" s="17">
        <v>46651</v>
      </c>
      <c r="I266" s="20"/>
      <c r="J266" s="20"/>
      <c r="K266" s="20"/>
    </row>
    <row r="267" spans="1:11" x14ac:dyDescent="0.25">
      <c r="A267" s="20"/>
      <c r="B267" s="20"/>
      <c r="C267" s="20"/>
      <c r="D267" s="20"/>
      <c r="E267" s="20"/>
      <c r="F267" s="20"/>
      <c r="G267" s="17">
        <v>22272</v>
      </c>
      <c r="H267" s="17">
        <v>46652</v>
      </c>
      <c r="I267" s="20"/>
      <c r="J267" s="20"/>
      <c r="K267" s="20"/>
    </row>
    <row r="268" spans="1:11" x14ac:dyDescent="0.25">
      <c r="A268" s="20"/>
      <c r="B268" s="20"/>
      <c r="C268" s="20"/>
      <c r="D268" s="20"/>
      <c r="E268" s="20"/>
      <c r="F268" s="20"/>
      <c r="G268" s="17">
        <v>22273</v>
      </c>
      <c r="H268" s="17">
        <v>46653</v>
      </c>
      <c r="I268" s="20"/>
      <c r="J268" s="20"/>
      <c r="K268" s="20"/>
    </row>
    <row r="269" spans="1:11" x14ac:dyDescent="0.25">
      <c r="A269" s="20"/>
      <c r="B269" s="20"/>
      <c r="C269" s="20"/>
      <c r="D269" s="20"/>
      <c r="E269" s="20"/>
      <c r="F269" s="20"/>
      <c r="G269" s="17">
        <v>22274</v>
      </c>
      <c r="H269" s="17">
        <v>46654</v>
      </c>
      <c r="I269" s="20"/>
      <c r="J269" s="20"/>
      <c r="K269" s="20"/>
    </row>
    <row r="270" spans="1:11" x14ac:dyDescent="0.25">
      <c r="A270" s="20"/>
      <c r="B270" s="20"/>
      <c r="C270" s="20"/>
      <c r="D270" s="20"/>
      <c r="E270" s="20"/>
      <c r="F270" s="20"/>
      <c r="G270" s="17">
        <v>22275</v>
      </c>
      <c r="H270" s="17">
        <v>46655</v>
      </c>
      <c r="I270" s="20"/>
      <c r="J270" s="20"/>
      <c r="K270" s="20"/>
    </row>
    <row r="271" spans="1:11" x14ac:dyDescent="0.25">
      <c r="A271" s="20"/>
      <c r="B271" s="20"/>
      <c r="C271" s="20"/>
      <c r="D271" s="20"/>
      <c r="E271" s="20"/>
      <c r="F271" s="20"/>
      <c r="G271" s="17">
        <v>22276</v>
      </c>
      <c r="H271" s="17">
        <v>46656</v>
      </c>
      <c r="I271" s="20"/>
      <c r="J271" s="20"/>
      <c r="K271" s="20"/>
    </row>
    <row r="272" spans="1:11" x14ac:dyDescent="0.25">
      <c r="A272" s="20"/>
      <c r="B272" s="20"/>
      <c r="C272" s="20"/>
      <c r="D272" s="20"/>
      <c r="E272" s="20"/>
      <c r="F272" s="20"/>
      <c r="G272" s="17">
        <v>22277</v>
      </c>
      <c r="H272" s="17">
        <v>46657</v>
      </c>
      <c r="I272" s="20"/>
      <c r="J272" s="20"/>
      <c r="K272" s="20"/>
    </row>
    <row r="273" spans="1:11" x14ac:dyDescent="0.25">
      <c r="A273" s="20"/>
      <c r="B273" s="20"/>
      <c r="C273" s="20"/>
      <c r="D273" s="20"/>
      <c r="E273" s="20"/>
      <c r="F273" s="20"/>
      <c r="G273" s="17">
        <v>22278</v>
      </c>
      <c r="H273" s="17">
        <v>46658</v>
      </c>
      <c r="I273" s="20"/>
      <c r="J273" s="20"/>
      <c r="K273" s="20"/>
    </row>
    <row r="274" spans="1:11" x14ac:dyDescent="0.25">
      <c r="A274" s="20"/>
      <c r="B274" s="20"/>
      <c r="C274" s="20"/>
      <c r="D274" s="20"/>
      <c r="E274" s="20"/>
      <c r="F274" s="20"/>
      <c r="G274" s="17">
        <v>22279</v>
      </c>
      <c r="H274" s="17">
        <v>46659</v>
      </c>
      <c r="I274" s="20"/>
      <c r="J274" s="20"/>
      <c r="K274" s="20"/>
    </row>
    <row r="275" spans="1:11" x14ac:dyDescent="0.25">
      <c r="A275" s="20"/>
      <c r="B275" s="20"/>
      <c r="C275" s="20"/>
      <c r="D275" s="20"/>
      <c r="E275" s="20"/>
      <c r="F275" s="20"/>
      <c r="G275" s="17">
        <v>22280</v>
      </c>
      <c r="H275" s="17">
        <v>46660</v>
      </c>
      <c r="I275" s="20"/>
      <c r="J275" s="20"/>
      <c r="K275" s="20"/>
    </row>
    <row r="276" spans="1:11" x14ac:dyDescent="0.25">
      <c r="A276" s="20"/>
      <c r="B276" s="20"/>
      <c r="C276" s="20"/>
      <c r="D276" s="20"/>
      <c r="E276" s="20"/>
      <c r="F276" s="20"/>
      <c r="G276" s="17">
        <v>22281</v>
      </c>
      <c r="H276" s="17">
        <v>46660</v>
      </c>
      <c r="I276" s="20"/>
      <c r="J276" s="20"/>
      <c r="K276" s="20"/>
    </row>
    <row r="277" spans="1:11" x14ac:dyDescent="0.25">
      <c r="A277" s="20"/>
      <c r="B277" s="20"/>
      <c r="C277" s="20"/>
      <c r="D277" s="20"/>
      <c r="E277" s="20"/>
      <c r="F277" s="20"/>
      <c r="G277" s="17">
        <v>22282</v>
      </c>
      <c r="H277" s="17">
        <v>46661</v>
      </c>
      <c r="I277" s="20"/>
      <c r="J277" s="20"/>
      <c r="K277" s="20"/>
    </row>
    <row r="278" spans="1:11" x14ac:dyDescent="0.25">
      <c r="A278" s="20"/>
      <c r="B278" s="20"/>
      <c r="C278" s="20"/>
      <c r="D278" s="20"/>
      <c r="E278" s="20"/>
      <c r="F278" s="20"/>
      <c r="G278" s="17">
        <v>22283</v>
      </c>
      <c r="H278" s="17">
        <v>46662</v>
      </c>
      <c r="I278" s="20"/>
      <c r="J278" s="20"/>
      <c r="K278" s="20"/>
    </row>
    <row r="279" spans="1:11" x14ac:dyDescent="0.25">
      <c r="A279" s="20"/>
      <c r="B279" s="20"/>
      <c r="C279" s="20"/>
      <c r="D279" s="20"/>
      <c r="E279" s="20"/>
      <c r="F279" s="20"/>
      <c r="G279" s="17">
        <v>22284</v>
      </c>
      <c r="H279" s="17">
        <v>46663</v>
      </c>
      <c r="I279" s="20"/>
      <c r="J279" s="20"/>
      <c r="K279" s="20"/>
    </row>
    <row r="280" spans="1:11" x14ac:dyDescent="0.25">
      <c r="A280" s="20"/>
      <c r="B280" s="20"/>
      <c r="C280" s="20"/>
      <c r="D280" s="20"/>
      <c r="E280" s="20"/>
      <c r="F280" s="20"/>
      <c r="G280" s="17">
        <v>22285</v>
      </c>
      <c r="H280" s="17">
        <v>46664</v>
      </c>
      <c r="I280" s="20"/>
      <c r="J280" s="20"/>
      <c r="K280" s="20"/>
    </row>
    <row r="281" spans="1:11" x14ac:dyDescent="0.25">
      <c r="A281" s="20"/>
      <c r="B281" s="20"/>
      <c r="C281" s="20"/>
      <c r="D281" s="20"/>
      <c r="E281" s="20"/>
      <c r="F281" s="20"/>
      <c r="G281" s="17">
        <v>22286</v>
      </c>
      <c r="H281" s="17">
        <v>46665</v>
      </c>
      <c r="I281" s="20"/>
      <c r="J281" s="20"/>
      <c r="K281" s="20"/>
    </row>
    <row r="282" spans="1:11" x14ac:dyDescent="0.25">
      <c r="A282" s="20"/>
      <c r="B282" s="20"/>
      <c r="C282" s="20"/>
      <c r="D282" s="20"/>
      <c r="E282" s="20"/>
      <c r="F282" s="20"/>
      <c r="G282" s="17">
        <v>22287</v>
      </c>
      <c r="H282" s="17">
        <v>46697</v>
      </c>
      <c r="I282" s="20"/>
      <c r="J282" s="20"/>
      <c r="K282" s="20"/>
    </row>
    <row r="283" spans="1:11" x14ac:dyDescent="0.25">
      <c r="A283" s="20"/>
      <c r="B283" s="20"/>
      <c r="C283" s="20"/>
      <c r="D283" s="20"/>
      <c r="E283" s="20"/>
      <c r="F283" s="20"/>
      <c r="G283" s="17">
        <v>22288</v>
      </c>
      <c r="H283" s="17">
        <v>46698</v>
      </c>
      <c r="I283" s="20"/>
      <c r="J283" s="20"/>
      <c r="K283" s="20"/>
    </row>
    <row r="284" spans="1:11" x14ac:dyDescent="0.25">
      <c r="A284" s="20"/>
      <c r="B284" s="20"/>
      <c r="C284" s="20"/>
      <c r="D284" s="20"/>
      <c r="E284" s="20"/>
      <c r="F284" s="20"/>
      <c r="G284" s="17">
        <v>22289</v>
      </c>
      <c r="H284" s="17">
        <v>46699</v>
      </c>
      <c r="I284" s="20"/>
      <c r="J284" s="20"/>
      <c r="K284" s="20"/>
    </row>
    <row r="285" spans="1:11" x14ac:dyDescent="0.25">
      <c r="A285" s="20"/>
      <c r="B285" s="20"/>
      <c r="C285" s="20"/>
      <c r="D285" s="20"/>
      <c r="E285" s="20"/>
      <c r="F285" s="20"/>
      <c r="G285" s="17">
        <v>22290</v>
      </c>
      <c r="H285" s="17">
        <v>46700</v>
      </c>
      <c r="I285" s="20"/>
      <c r="J285" s="20"/>
      <c r="K285" s="20"/>
    </row>
    <row r="286" spans="1:11" x14ac:dyDescent="0.25">
      <c r="A286" s="20"/>
      <c r="B286" s="20"/>
      <c r="C286" s="20"/>
      <c r="D286" s="20"/>
      <c r="E286" s="20"/>
      <c r="F286" s="20"/>
      <c r="G286" s="17">
        <v>22291</v>
      </c>
      <c r="H286" s="17">
        <v>46701</v>
      </c>
      <c r="I286" s="20"/>
      <c r="J286" s="20"/>
      <c r="K286" s="20"/>
    </row>
    <row r="287" spans="1:11" x14ac:dyDescent="0.25">
      <c r="A287" s="20"/>
      <c r="B287" s="20"/>
      <c r="C287" s="20"/>
      <c r="D287" s="20"/>
      <c r="E287" s="20"/>
      <c r="F287" s="20"/>
      <c r="G287" s="17">
        <v>22292</v>
      </c>
      <c r="H287" s="17">
        <v>46702</v>
      </c>
      <c r="I287" s="20"/>
      <c r="J287" s="20"/>
      <c r="K287" s="20"/>
    </row>
    <row r="288" spans="1:11" x14ac:dyDescent="0.25">
      <c r="A288" s="20"/>
      <c r="B288" s="20"/>
      <c r="C288" s="20"/>
      <c r="D288" s="20"/>
      <c r="E288" s="20"/>
      <c r="F288" s="20"/>
      <c r="G288" s="17">
        <v>22293</v>
      </c>
      <c r="H288" s="17">
        <v>46703</v>
      </c>
      <c r="I288" s="20"/>
      <c r="J288" s="20"/>
      <c r="K288" s="20"/>
    </row>
    <row r="289" spans="1:11" x14ac:dyDescent="0.25">
      <c r="A289" s="20"/>
      <c r="B289" s="20"/>
      <c r="C289" s="20"/>
      <c r="D289" s="20"/>
      <c r="E289" s="20"/>
      <c r="F289" s="20"/>
      <c r="G289" s="17">
        <v>22294</v>
      </c>
      <c r="H289" s="17">
        <v>46704</v>
      </c>
      <c r="I289" s="20"/>
      <c r="J289" s="20"/>
      <c r="K289" s="20"/>
    </row>
    <row r="290" spans="1:11" x14ac:dyDescent="0.25">
      <c r="A290" s="20"/>
      <c r="B290" s="20"/>
      <c r="C290" s="20"/>
      <c r="D290" s="20"/>
      <c r="E290" s="20"/>
      <c r="F290" s="20"/>
      <c r="G290" s="17">
        <v>22295</v>
      </c>
      <c r="H290" s="17">
        <v>46705</v>
      </c>
      <c r="I290" s="20"/>
      <c r="J290" s="20"/>
      <c r="K290" s="20"/>
    </row>
    <row r="291" spans="1:11" x14ac:dyDescent="0.25">
      <c r="A291" s="20"/>
      <c r="B291" s="20"/>
      <c r="C291" s="20"/>
      <c r="D291" s="20"/>
      <c r="E291" s="20"/>
      <c r="F291" s="20"/>
      <c r="G291" s="17">
        <v>22296</v>
      </c>
      <c r="H291" s="17">
        <v>46706</v>
      </c>
      <c r="I291" s="20"/>
      <c r="J291" s="20"/>
      <c r="K291" s="20"/>
    </row>
    <row r="292" spans="1:11" x14ac:dyDescent="0.25">
      <c r="A292" s="20"/>
      <c r="B292" s="20"/>
      <c r="C292" s="20"/>
      <c r="D292" s="20"/>
      <c r="E292" s="20"/>
      <c r="F292" s="20"/>
      <c r="G292" s="17">
        <v>22297</v>
      </c>
      <c r="H292" s="17">
        <v>46707</v>
      </c>
      <c r="I292" s="20"/>
      <c r="J292" s="20"/>
      <c r="K292" s="20"/>
    </row>
    <row r="293" spans="1:11" x14ac:dyDescent="0.25">
      <c r="A293" s="20"/>
      <c r="B293" s="20"/>
      <c r="C293" s="20"/>
      <c r="D293" s="20"/>
      <c r="E293" s="20"/>
      <c r="F293" s="20"/>
      <c r="G293" s="17">
        <v>22298</v>
      </c>
      <c r="H293" s="17">
        <v>46708</v>
      </c>
      <c r="I293" s="20"/>
      <c r="J293" s="20"/>
      <c r="K293" s="20"/>
    </row>
    <row r="294" spans="1:11" x14ac:dyDescent="0.25">
      <c r="A294" s="20"/>
      <c r="B294" s="20"/>
      <c r="C294" s="20"/>
      <c r="D294" s="20"/>
      <c r="E294" s="20"/>
      <c r="F294" s="20"/>
      <c r="G294" s="17">
        <v>22299</v>
      </c>
      <c r="H294" s="17">
        <v>46709</v>
      </c>
      <c r="I294" s="20"/>
      <c r="J294" s="20"/>
      <c r="K294" s="20"/>
    </row>
    <row r="295" spans="1:11" x14ac:dyDescent="0.25">
      <c r="A295" s="20"/>
      <c r="B295" s="20"/>
      <c r="C295" s="20"/>
      <c r="D295" s="20"/>
      <c r="E295" s="20"/>
      <c r="F295" s="20"/>
      <c r="G295" s="17">
        <v>22300</v>
      </c>
      <c r="H295" s="17">
        <v>46710</v>
      </c>
      <c r="I295" s="20"/>
      <c r="J295" s="20"/>
      <c r="K295" s="20"/>
    </row>
    <row r="296" spans="1:11" x14ac:dyDescent="0.25">
      <c r="A296" s="20"/>
      <c r="B296" s="20"/>
      <c r="C296" s="20"/>
      <c r="D296" s="20"/>
      <c r="E296" s="20"/>
      <c r="F296" s="20"/>
      <c r="G296" s="17">
        <v>22301</v>
      </c>
      <c r="H296" s="17">
        <v>46711</v>
      </c>
      <c r="I296" s="20"/>
      <c r="J296" s="20"/>
      <c r="K296" s="20"/>
    </row>
    <row r="297" spans="1:11" x14ac:dyDescent="0.25">
      <c r="A297" s="20"/>
      <c r="B297" s="20"/>
      <c r="C297" s="20"/>
      <c r="D297" s="20"/>
      <c r="E297" s="20"/>
      <c r="F297" s="20"/>
      <c r="G297" s="17">
        <v>22302</v>
      </c>
      <c r="H297" s="17">
        <v>46712</v>
      </c>
      <c r="I297" s="20"/>
      <c r="J297" s="20"/>
      <c r="K297" s="20"/>
    </row>
    <row r="298" spans="1:11" x14ac:dyDescent="0.25">
      <c r="A298" s="20"/>
      <c r="B298" s="20"/>
      <c r="C298" s="20"/>
      <c r="D298" s="20"/>
      <c r="E298" s="20"/>
      <c r="F298" s="20"/>
      <c r="G298" s="17">
        <v>22303</v>
      </c>
      <c r="H298" s="17">
        <v>46713</v>
      </c>
      <c r="I298" s="20"/>
      <c r="J298" s="20"/>
      <c r="K298" s="20"/>
    </row>
    <row r="299" spans="1:11" x14ac:dyDescent="0.25">
      <c r="A299" s="20"/>
      <c r="B299" s="20"/>
      <c r="C299" s="20"/>
      <c r="D299" s="20"/>
      <c r="E299" s="20"/>
      <c r="F299" s="20"/>
      <c r="G299" s="17">
        <v>22304</v>
      </c>
      <c r="H299" s="17">
        <v>46714</v>
      </c>
      <c r="I299" s="20"/>
      <c r="J299" s="20"/>
      <c r="K299" s="20"/>
    </row>
    <row r="300" spans="1:11" x14ac:dyDescent="0.25">
      <c r="A300" s="20"/>
      <c r="B300" s="20"/>
      <c r="C300" s="20"/>
      <c r="D300" s="20"/>
      <c r="E300" s="20"/>
      <c r="F300" s="20"/>
      <c r="G300" s="17">
        <v>22305</v>
      </c>
      <c r="H300" s="17">
        <v>46715</v>
      </c>
      <c r="I300" s="20"/>
      <c r="J300" s="20"/>
      <c r="K300" s="20"/>
    </row>
    <row r="301" spans="1:11" x14ac:dyDescent="0.25">
      <c r="A301" s="20"/>
      <c r="B301" s="20"/>
      <c r="C301" s="20"/>
      <c r="D301" s="20"/>
      <c r="E301" s="20"/>
      <c r="F301" s="20"/>
      <c r="G301" s="17">
        <v>22306</v>
      </c>
      <c r="H301" s="17">
        <v>46716</v>
      </c>
      <c r="I301" s="20"/>
      <c r="J301" s="20"/>
      <c r="K301" s="20"/>
    </row>
    <row r="302" spans="1:11" x14ac:dyDescent="0.25">
      <c r="A302" s="20"/>
      <c r="B302" s="20"/>
      <c r="C302" s="20"/>
      <c r="D302" s="20"/>
      <c r="E302" s="20"/>
      <c r="F302" s="20"/>
      <c r="G302" s="17">
        <v>22307</v>
      </c>
      <c r="H302" s="17">
        <v>46717</v>
      </c>
      <c r="I302" s="20"/>
      <c r="J302" s="20"/>
      <c r="K302" s="20"/>
    </row>
    <row r="303" spans="1:11" x14ac:dyDescent="0.25">
      <c r="A303" s="20"/>
      <c r="B303" s="20"/>
      <c r="C303" s="20"/>
      <c r="D303" s="20"/>
      <c r="E303" s="20"/>
      <c r="F303" s="20"/>
      <c r="G303" s="17">
        <v>22308</v>
      </c>
      <c r="H303" s="17">
        <v>46718</v>
      </c>
      <c r="I303" s="20"/>
      <c r="J303" s="20"/>
      <c r="K303" s="20"/>
    </row>
    <row r="304" spans="1:11" x14ac:dyDescent="0.25">
      <c r="A304" s="20"/>
      <c r="B304" s="20"/>
      <c r="C304" s="20"/>
      <c r="D304" s="20"/>
      <c r="E304" s="20"/>
      <c r="F304" s="20"/>
      <c r="G304" s="17">
        <v>22309</v>
      </c>
      <c r="H304" s="17">
        <v>46719</v>
      </c>
      <c r="I304" s="20"/>
      <c r="J304" s="20"/>
      <c r="K304" s="20"/>
    </row>
    <row r="305" spans="1:11" x14ac:dyDescent="0.25">
      <c r="A305" s="20"/>
      <c r="B305" s="20"/>
      <c r="C305" s="20"/>
      <c r="D305" s="20"/>
      <c r="E305" s="20"/>
      <c r="F305" s="20"/>
      <c r="G305" s="17">
        <v>22310</v>
      </c>
      <c r="H305" s="17">
        <v>46720</v>
      </c>
      <c r="I305" s="20"/>
      <c r="J305" s="20"/>
      <c r="K305" s="20"/>
    </row>
    <row r="306" spans="1:11" x14ac:dyDescent="0.25">
      <c r="A306" s="20"/>
      <c r="B306" s="20"/>
      <c r="C306" s="20"/>
      <c r="D306" s="20"/>
      <c r="E306" s="20"/>
      <c r="F306" s="20"/>
      <c r="G306" s="17">
        <v>22311</v>
      </c>
      <c r="H306" s="17">
        <v>46721</v>
      </c>
      <c r="I306" s="20"/>
      <c r="J306" s="20"/>
      <c r="K306" s="20"/>
    </row>
    <row r="307" spans="1:11" x14ac:dyDescent="0.25">
      <c r="A307" s="20"/>
      <c r="B307" s="20"/>
      <c r="C307" s="20"/>
      <c r="D307" s="20"/>
      <c r="E307" s="20"/>
      <c r="F307" s="20"/>
      <c r="G307" s="17">
        <v>22312</v>
      </c>
      <c r="H307" s="17">
        <v>46721</v>
      </c>
      <c r="I307" s="20"/>
      <c r="J307" s="20"/>
      <c r="K307" s="20"/>
    </row>
    <row r="308" spans="1:11" x14ac:dyDescent="0.25">
      <c r="A308" s="20"/>
      <c r="B308" s="20"/>
      <c r="C308" s="20"/>
      <c r="D308" s="20"/>
      <c r="E308" s="20"/>
      <c r="F308" s="20"/>
      <c r="G308" s="17">
        <v>22313</v>
      </c>
      <c r="H308" s="17">
        <v>46722</v>
      </c>
      <c r="I308" s="20"/>
      <c r="J308" s="20"/>
      <c r="K308" s="20"/>
    </row>
    <row r="309" spans="1:11" x14ac:dyDescent="0.25">
      <c r="A309" s="20"/>
      <c r="B309" s="20"/>
      <c r="C309" s="20"/>
      <c r="D309" s="20"/>
      <c r="E309" s="20"/>
      <c r="F309" s="20"/>
      <c r="G309" s="17">
        <v>22314</v>
      </c>
      <c r="H309" s="17">
        <v>46723</v>
      </c>
      <c r="I309" s="20"/>
      <c r="J309" s="20"/>
      <c r="K309" s="20"/>
    </row>
    <row r="310" spans="1:11" x14ac:dyDescent="0.25">
      <c r="A310" s="20"/>
      <c r="B310" s="20"/>
      <c r="C310" s="20"/>
      <c r="D310" s="20"/>
      <c r="E310" s="20"/>
      <c r="F310" s="20"/>
      <c r="G310" s="17">
        <v>22315</v>
      </c>
      <c r="H310" s="17">
        <v>46724</v>
      </c>
      <c r="I310" s="20"/>
      <c r="J310" s="20"/>
      <c r="K310" s="20"/>
    </row>
    <row r="311" spans="1:11" x14ac:dyDescent="0.25">
      <c r="A311" s="20"/>
      <c r="B311" s="20"/>
      <c r="C311" s="20"/>
      <c r="D311" s="20"/>
      <c r="E311" s="20"/>
      <c r="F311" s="20"/>
      <c r="G311" s="17">
        <v>22316</v>
      </c>
      <c r="H311" s="17">
        <v>46725</v>
      </c>
      <c r="I311" s="20"/>
      <c r="J311" s="20"/>
      <c r="K311" s="20"/>
    </row>
    <row r="312" spans="1:11" x14ac:dyDescent="0.25">
      <c r="A312" s="20"/>
      <c r="B312" s="20"/>
      <c r="C312" s="20"/>
      <c r="D312" s="20"/>
      <c r="E312" s="20"/>
      <c r="F312" s="20"/>
      <c r="G312" s="17">
        <v>22317</v>
      </c>
      <c r="H312" s="17">
        <v>46726</v>
      </c>
      <c r="I312" s="20"/>
      <c r="J312" s="20"/>
      <c r="K312" s="20"/>
    </row>
    <row r="313" spans="1:11" x14ac:dyDescent="0.25">
      <c r="A313" s="20"/>
      <c r="B313" s="20"/>
      <c r="C313" s="20"/>
      <c r="D313" s="20"/>
      <c r="E313" s="20"/>
      <c r="F313" s="20"/>
      <c r="G313" s="17">
        <v>22318</v>
      </c>
      <c r="H313" s="17">
        <v>46758</v>
      </c>
      <c r="I313" s="20"/>
      <c r="J313" s="20"/>
      <c r="K313" s="20"/>
    </row>
    <row r="314" spans="1:11" x14ac:dyDescent="0.25">
      <c r="A314" s="20"/>
      <c r="B314" s="20"/>
      <c r="C314" s="20"/>
      <c r="D314" s="20"/>
      <c r="E314" s="20"/>
      <c r="F314" s="20"/>
      <c r="G314" s="17">
        <v>22319</v>
      </c>
      <c r="H314" s="17">
        <v>46759</v>
      </c>
      <c r="I314" s="20"/>
      <c r="J314" s="20"/>
      <c r="K314" s="20"/>
    </row>
    <row r="315" spans="1:11" x14ac:dyDescent="0.25">
      <c r="A315" s="20"/>
      <c r="B315" s="20"/>
      <c r="C315" s="20"/>
      <c r="D315" s="20"/>
      <c r="E315" s="20"/>
      <c r="F315" s="20"/>
      <c r="G315" s="17">
        <v>22320</v>
      </c>
      <c r="H315" s="17">
        <v>46760</v>
      </c>
      <c r="I315" s="20"/>
      <c r="J315" s="20"/>
      <c r="K315" s="20"/>
    </row>
    <row r="316" spans="1:11" x14ac:dyDescent="0.25">
      <c r="A316" s="20"/>
      <c r="B316" s="20"/>
      <c r="C316" s="20"/>
      <c r="D316" s="20"/>
      <c r="E316" s="20"/>
      <c r="F316" s="20"/>
      <c r="G316" s="17">
        <v>22321</v>
      </c>
      <c r="H316" s="17">
        <v>46761</v>
      </c>
      <c r="I316" s="20"/>
      <c r="J316" s="20"/>
      <c r="K316" s="20"/>
    </row>
    <row r="317" spans="1:11" x14ac:dyDescent="0.25">
      <c r="A317" s="20"/>
      <c r="B317" s="20"/>
      <c r="C317" s="20"/>
      <c r="D317" s="20"/>
      <c r="E317" s="20"/>
      <c r="F317" s="20"/>
      <c r="G317" s="17">
        <v>22322</v>
      </c>
      <c r="H317" s="17">
        <v>46762</v>
      </c>
      <c r="I317" s="20"/>
      <c r="J317" s="20"/>
      <c r="K317" s="20"/>
    </row>
    <row r="318" spans="1:11" x14ac:dyDescent="0.25">
      <c r="A318" s="20"/>
      <c r="B318" s="20"/>
      <c r="C318" s="20"/>
      <c r="D318" s="20"/>
      <c r="E318" s="20"/>
      <c r="F318" s="20"/>
      <c r="G318" s="17">
        <v>22323</v>
      </c>
      <c r="H318" s="17">
        <v>46763</v>
      </c>
      <c r="I318" s="20"/>
      <c r="J318" s="20"/>
      <c r="K318" s="20"/>
    </row>
    <row r="319" spans="1:11" x14ac:dyDescent="0.25">
      <c r="A319" s="20"/>
      <c r="B319" s="20"/>
      <c r="C319" s="20"/>
      <c r="D319" s="20"/>
      <c r="E319" s="20"/>
      <c r="F319" s="20"/>
      <c r="G319" s="17">
        <v>22324</v>
      </c>
      <c r="H319" s="17">
        <v>46764</v>
      </c>
      <c r="I319" s="20"/>
      <c r="J319" s="20"/>
      <c r="K319" s="20"/>
    </row>
    <row r="320" spans="1:11" x14ac:dyDescent="0.25">
      <c r="A320" s="20"/>
      <c r="B320" s="20"/>
      <c r="C320" s="20"/>
      <c r="D320" s="20"/>
      <c r="E320" s="20"/>
      <c r="F320" s="20"/>
      <c r="G320" s="17">
        <v>22325</v>
      </c>
      <c r="H320" s="17">
        <v>46765</v>
      </c>
      <c r="I320" s="20"/>
      <c r="J320" s="20"/>
      <c r="K320" s="20"/>
    </row>
    <row r="321" spans="1:11" x14ac:dyDescent="0.25">
      <c r="A321" s="20"/>
      <c r="B321" s="20"/>
      <c r="C321" s="20"/>
      <c r="D321" s="20"/>
      <c r="E321" s="20"/>
      <c r="F321" s="20"/>
      <c r="G321" s="17">
        <v>22326</v>
      </c>
      <c r="H321" s="17">
        <v>46766</v>
      </c>
      <c r="I321" s="20"/>
      <c r="J321" s="20"/>
      <c r="K321" s="20"/>
    </row>
    <row r="322" spans="1:11" x14ac:dyDescent="0.25">
      <c r="A322" s="20"/>
      <c r="B322" s="20"/>
      <c r="C322" s="20"/>
      <c r="D322" s="20"/>
      <c r="E322" s="20"/>
      <c r="F322" s="20"/>
      <c r="G322" s="17">
        <v>22327</v>
      </c>
      <c r="H322" s="17">
        <v>46767</v>
      </c>
      <c r="I322" s="20"/>
      <c r="J322" s="20"/>
      <c r="K322" s="20"/>
    </row>
    <row r="323" spans="1:11" x14ac:dyDescent="0.25">
      <c r="A323" s="20"/>
      <c r="B323" s="20"/>
      <c r="C323" s="20"/>
      <c r="D323" s="20"/>
      <c r="E323" s="20"/>
      <c r="F323" s="20"/>
      <c r="G323" s="17">
        <v>22328</v>
      </c>
      <c r="H323" s="17">
        <v>46768</v>
      </c>
      <c r="I323" s="20"/>
      <c r="J323" s="20"/>
      <c r="K323" s="20"/>
    </row>
    <row r="324" spans="1:11" x14ac:dyDescent="0.25">
      <c r="A324" s="20"/>
      <c r="B324" s="20"/>
      <c r="C324" s="20"/>
      <c r="D324" s="20"/>
      <c r="E324" s="20"/>
      <c r="F324" s="20"/>
      <c r="G324" s="17">
        <v>22329</v>
      </c>
      <c r="H324" s="17">
        <v>46769</v>
      </c>
      <c r="I324" s="20"/>
      <c r="J324" s="20"/>
      <c r="K324" s="20"/>
    </row>
    <row r="325" spans="1:11" x14ac:dyDescent="0.25">
      <c r="A325" s="20"/>
      <c r="B325" s="20"/>
      <c r="C325" s="20"/>
      <c r="D325" s="20"/>
      <c r="E325" s="20"/>
      <c r="F325" s="20"/>
      <c r="G325" s="17">
        <v>22330</v>
      </c>
      <c r="H325" s="17">
        <v>46770</v>
      </c>
      <c r="I325" s="20"/>
      <c r="J325" s="20"/>
      <c r="K325" s="20"/>
    </row>
    <row r="326" spans="1:11" x14ac:dyDescent="0.25">
      <c r="A326" s="20"/>
      <c r="B326" s="20"/>
      <c r="C326" s="20"/>
      <c r="D326" s="20"/>
      <c r="E326" s="20"/>
      <c r="F326" s="20"/>
      <c r="G326" s="17">
        <v>22331</v>
      </c>
      <c r="H326" s="17">
        <v>46771</v>
      </c>
      <c r="I326" s="20"/>
      <c r="J326" s="20"/>
      <c r="K326" s="20"/>
    </row>
    <row r="327" spans="1:11" x14ac:dyDescent="0.25">
      <c r="A327" s="20"/>
      <c r="B327" s="20"/>
      <c r="C327" s="20"/>
      <c r="D327" s="20"/>
      <c r="E327" s="20"/>
      <c r="F327" s="20"/>
      <c r="G327" s="17">
        <v>22332</v>
      </c>
      <c r="H327" s="17">
        <v>46772</v>
      </c>
      <c r="I327" s="20"/>
      <c r="J327" s="20"/>
      <c r="K327" s="20"/>
    </row>
    <row r="328" spans="1:11" x14ac:dyDescent="0.25">
      <c r="A328" s="20"/>
      <c r="B328" s="20"/>
      <c r="C328" s="20"/>
      <c r="D328" s="20"/>
      <c r="E328" s="20"/>
      <c r="F328" s="20"/>
      <c r="G328" s="17">
        <v>22333</v>
      </c>
      <c r="H328" s="17">
        <v>46773</v>
      </c>
      <c r="I328" s="20"/>
      <c r="J328" s="20"/>
      <c r="K328" s="20"/>
    </row>
    <row r="329" spans="1:11" x14ac:dyDescent="0.25">
      <c r="A329" s="20"/>
      <c r="B329" s="20"/>
      <c r="C329" s="20"/>
      <c r="D329" s="20"/>
      <c r="E329" s="20"/>
      <c r="F329" s="20"/>
      <c r="G329" s="17">
        <v>22334</v>
      </c>
      <c r="H329" s="17">
        <v>46774</v>
      </c>
      <c r="I329" s="20"/>
      <c r="J329" s="20"/>
      <c r="K329" s="20"/>
    </row>
    <row r="330" spans="1:11" x14ac:dyDescent="0.25">
      <c r="A330" s="20"/>
      <c r="B330" s="20"/>
      <c r="C330" s="20"/>
      <c r="D330" s="20"/>
      <c r="E330" s="20"/>
      <c r="F330" s="20"/>
      <c r="G330" s="17">
        <v>22335</v>
      </c>
      <c r="H330" s="17">
        <v>46775</v>
      </c>
      <c r="I330" s="20"/>
      <c r="J330" s="20"/>
      <c r="K330" s="20"/>
    </row>
    <row r="331" spans="1:11" x14ac:dyDescent="0.25">
      <c r="A331" s="20"/>
      <c r="B331" s="20"/>
      <c r="C331" s="20"/>
      <c r="D331" s="20"/>
      <c r="E331" s="20"/>
      <c r="F331" s="20"/>
      <c r="G331" s="17">
        <v>22336</v>
      </c>
      <c r="H331" s="17">
        <v>46776</v>
      </c>
      <c r="I331" s="20"/>
      <c r="J331" s="20"/>
      <c r="K331" s="20"/>
    </row>
    <row r="332" spans="1:11" x14ac:dyDescent="0.25">
      <c r="A332" s="20"/>
      <c r="B332" s="20"/>
      <c r="C332" s="20"/>
      <c r="D332" s="20"/>
      <c r="E332" s="20"/>
      <c r="F332" s="20"/>
      <c r="G332" s="17">
        <v>22337</v>
      </c>
      <c r="H332" s="17">
        <v>46777</v>
      </c>
      <c r="I332" s="20"/>
      <c r="J332" s="20"/>
      <c r="K332" s="20"/>
    </row>
    <row r="333" spans="1:11" x14ac:dyDescent="0.25">
      <c r="A333" s="20"/>
      <c r="B333" s="20"/>
      <c r="C333" s="20"/>
      <c r="D333" s="20"/>
      <c r="E333" s="20"/>
      <c r="F333" s="20"/>
      <c r="G333" s="17">
        <v>22338</v>
      </c>
      <c r="H333" s="17">
        <v>46778</v>
      </c>
      <c r="I333" s="20"/>
      <c r="J333" s="20"/>
      <c r="K333" s="20"/>
    </row>
    <row r="334" spans="1:11" x14ac:dyDescent="0.25">
      <c r="A334" s="20"/>
      <c r="B334" s="20"/>
      <c r="C334" s="20"/>
      <c r="D334" s="20"/>
      <c r="E334" s="20"/>
      <c r="F334" s="20"/>
      <c r="G334" s="17">
        <v>22339</v>
      </c>
      <c r="H334" s="17">
        <v>46779</v>
      </c>
      <c r="I334" s="20"/>
      <c r="J334" s="20"/>
      <c r="K334" s="20"/>
    </row>
    <row r="335" spans="1:11" x14ac:dyDescent="0.25">
      <c r="A335" s="20"/>
      <c r="B335" s="20"/>
      <c r="C335" s="20"/>
      <c r="D335" s="20"/>
      <c r="E335" s="20"/>
      <c r="F335" s="20"/>
      <c r="G335" s="17">
        <v>22340</v>
      </c>
      <c r="H335" s="17">
        <v>46780</v>
      </c>
      <c r="I335" s="20"/>
      <c r="J335" s="20"/>
      <c r="K335" s="20"/>
    </row>
    <row r="336" spans="1:11" x14ac:dyDescent="0.25">
      <c r="A336" s="20"/>
      <c r="B336" s="20"/>
      <c r="C336" s="20"/>
      <c r="D336" s="20"/>
      <c r="E336" s="20"/>
      <c r="F336" s="20"/>
      <c r="G336" s="17">
        <v>22341</v>
      </c>
      <c r="H336" s="17">
        <v>46784</v>
      </c>
      <c r="I336" s="20"/>
      <c r="J336" s="20"/>
      <c r="K336" s="20"/>
    </row>
    <row r="337" spans="1:11" x14ac:dyDescent="0.25">
      <c r="A337" s="20"/>
      <c r="B337" s="20"/>
      <c r="C337" s="20"/>
      <c r="D337" s="20"/>
      <c r="E337" s="20"/>
      <c r="F337" s="20"/>
      <c r="G337" s="17">
        <v>22342</v>
      </c>
      <c r="H337" s="17">
        <v>46785</v>
      </c>
      <c r="I337" s="20"/>
      <c r="J337" s="20"/>
      <c r="K337" s="20"/>
    </row>
    <row r="338" spans="1:11" x14ac:dyDescent="0.25">
      <c r="A338" s="20"/>
      <c r="B338" s="20"/>
      <c r="C338" s="20"/>
      <c r="D338" s="20"/>
      <c r="E338" s="20"/>
      <c r="F338" s="20"/>
      <c r="G338" s="17">
        <v>22343</v>
      </c>
      <c r="H338" s="17">
        <v>46786</v>
      </c>
      <c r="I338" s="20"/>
      <c r="J338" s="20"/>
      <c r="K338" s="20"/>
    </row>
    <row r="339" spans="1:11" x14ac:dyDescent="0.25">
      <c r="A339" s="20"/>
      <c r="B339" s="20"/>
      <c r="C339" s="20"/>
      <c r="D339" s="20"/>
      <c r="E339" s="20"/>
      <c r="F339" s="20"/>
      <c r="G339" s="17">
        <v>22344</v>
      </c>
      <c r="H339" s="17">
        <v>46787</v>
      </c>
      <c r="I339" s="20"/>
      <c r="J339" s="20"/>
      <c r="K339" s="20"/>
    </row>
    <row r="340" spans="1:11" x14ac:dyDescent="0.25">
      <c r="A340" s="20"/>
      <c r="B340" s="20"/>
      <c r="C340" s="20"/>
      <c r="D340" s="20"/>
      <c r="E340" s="20"/>
      <c r="F340" s="20"/>
      <c r="G340" s="17">
        <v>22345</v>
      </c>
      <c r="H340" s="17">
        <v>46788</v>
      </c>
      <c r="I340" s="20"/>
      <c r="J340" s="20"/>
      <c r="K340" s="2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43"/>
  <sheetViews>
    <sheetView topLeftCell="B1" workbookViewId="0">
      <selection activeCell="B14" sqref="B14:B15"/>
    </sheetView>
  </sheetViews>
  <sheetFormatPr defaultRowHeight="15" x14ac:dyDescent="0.25"/>
  <cols>
    <col min="2" max="2" width="38.85546875" customWidth="1"/>
    <col min="3" max="3" width="18.28515625" customWidth="1"/>
    <col min="4" max="4" width="18.42578125" customWidth="1"/>
    <col min="5" max="5" width="12.42578125" customWidth="1"/>
    <col min="6" max="6" width="37.140625" customWidth="1"/>
    <col min="7" max="7" width="8.5703125" customWidth="1"/>
    <col min="8" max="8" width="11" customWidth="1"/>
    <col min="9" max="9" width="4" customWidth="1"/>
    <col min="10" max="10" width="23.85546875" customWidth="1"/>
    <col min="11" max="11" width="10.140625" customWidth="1"/>
  </cols>
  <sheetData>
    <row r="1" spans="2:12" x14ac:dyDescent="0.25">
      <c r="D1" s="6" t="s">
        <v>44</v>
      </c>
      <c r="F1" s="6"/>
    </row>
    <row r="2" spans="2:12" x14ac:dyDescent="0.25">
      <c r="B2" t="s">
        <v>0</v>
      </c>
      <c r="C2">
        <f>Request!C59</f>
        <v>0</v>
      </c>
      <c r="D2" s="6"/>
    </row>
    <row r="3" spans="2:12" x14ac:dyDescent="0.25">
      <c r="B3" t="s">
        <v>171</v>
      </c>
      <c r="C3" s="21" t="e">
        <f>VLOOKUP(C2,NRD!A2:E13,5,FALSE)</f>
        <v>#N/A</v>
      </c>
      <c r="D3" s="6" t="e">
        <f>IF(C13&gt;=C3,0,1)</f>
        <v>#N/A</v>
      </c>
    </row>
    <row r="4" spans="2:12" ht="30" x14ac:dyDescent="0.25">
      <c r="B4" s="2" t="s">
        <v>397</v>
      </c>
      <c r="C4" s="21" t="e">
        <f>VLOOKUP(C2,NRD!A2:E13,3,FALSE) -E4</f>
        <v>#N/A</v>
      </c>
      <c r="D4" s="6" t="e">
        <f>IF(C13&gt;C4,1,0)</f>
        <v>#N/A</v>
      </c>
      <c r="E4">
        <f>IF(C8 = 1,1,IF(C9=1,2,0))</f>
        <v>0</v>
      </c>
      <c r="F4" t="s">
        <v>398</v>
      </c>
    </row>
    <row r="5" spans="2:12" x14ac:dyDescent="0.25">
      <c r="B5" t="s">
        <v>426</v>
      </c>
      <c r="C5" s="21">
        <f>NRD!H6</f>
        <v>20089</v>
      </c>
      <c r="D5" s="6">
        <f>IF(C13&gt;=C5,1,0)</f>
        <v>0</v>
      </c>
      <c r="F5" t="s">
        <v>346</v>
      </c>
      <c r="G5" t="e">
        <f>(D3+D5)</f>
        <v>#N/A</v>
      </c>
      <c r="H5" t="s">
        <v>345</v>
      </c>
      <c r="I5">
        <f>IF(C2="alpha",0,1)</f>
        <v>1</v>
      </c>
      <c r="J5" t="s">
        <v>347</v>
      </c>
      <c r="K5" s="271" t="e">
        <f>I5+G5</f>
        <v>#N/A</v>
      </c>
      <c r="L5" t="e">
        <f>IF(K5=0,"We will undertake additional checks to confirm if the member is eligible for an Actuarially Reduced Retirement (ARR) quote.","")</f>
        <v>#N/A</v>
      </c>
    </row>
    <row r="6" spans="2:12" x14ac:dyDescent="0.25">
      <c r="B6" t="s">
        <v>198</v>
      </c>
      <c r="D6" s="6" t="e">
        <f>SUM(D3:D4)</f>
        <v>#N/A</v>
      </c>
      <c r="E6" s="10"/>
    </row>
    <row r="7" spans="2:12" s="12" customFormat="1" x14ac:dyDescent="0.25">
      <c r="B7" s="12" t="s">
        <v>199</v>
      </c>
      <c r="D7" s="6" t="e">
        <f>IF(C13&lt;C4,1,0)</f>
        <v>#N/A</v>
      </c>
      <c r="E7" s="10"/>
      <c r="K7" s="265" t="s">
        <v>134</v>
      </c>
    </row>
    <row r="8" spans="2:12" s="12" customFormat="1" x14ac:dyDescent="0.25">
      <c r="B8" s="12" t="s">
        <v>200</v>
      </c>
      <c r="C8" s="271">
        <f>IF(ServiceType!B3="Quote-Age Retirement",1,0)</f>
        <v>0</v>
      </c>
      <c r="D8" s="268" t="e">
        <f>MIN(C8,D7)</f>
        <v>#N/A</v>
      </c>
      <c r="E8" s="12" t="s">
        <v>369</v>
      </c>
      <c r="K8" s="267" t="s">
        <v>372</v>
      </c>
    </row>
    <row r="9" spans="2:12" x14ac:dyDescent="0.25">
      <c r="B9" t="s">
        <v>201</v>
      </c>
      <c r="C9">
        <f>IF(ServiceType!B3="Quote-Early Retirement (ARR)",1,0)</f>
        <v>0</v>
      </c>
      <c r="D9" s="269" t="e">
        <f>MIN(C9,D6)</f>
        <v>#N/A</v>
      </c>
      <c r="E9" t="s">
        <v>368</v>
      </c>
    </row>
    <row r="10" spans="2:12" x14ac:dyDescent="0.25">
      <c r="B10" s="266" t="s">
        <v>179</v>
      </c>
      <c r="D10" s="270">
        <f>IF(C20 = 0, SUM(D8:D9), 0)</f>
        <v>0</v>
      </c>
    </row>
    <row r="12" spans="2:12" x14ac:dyDescent="0.25">
      <c r="B12" t="s">
        <v>46</v>
      </c>
      <c r="C12" s="3">
        <f>(Request!C27-Request!C51)/365.25</f>
        <v>0</v>
      </c>
      <c r="D12" s="2"/>
    </row>
    <row r="13" spans="2:12" x14ac:dyDescent="0.25">
      <c r="B13" t="s">
        <v>29</v>
      </c>
      <c r="C13" s="21">
        <f>Request!C27</f>
        <v>0</v>
      </c>
    </row>
    <row r="14" spans="2:12" x14ac:dyDescent="0.25">
      <c r="B14" t="s">
        <v>304</v>
      </c>
      <c r="C14">
        <f>Request!C63</f>
        <v>0</v>
      </c>
    </row>
    <row r="15" spans="2:12" s="6" customFormat="1" x14ac:dyDescent="0.25">
      <c r="B15" s="6" t="s">
        <v>180</v>
      </c>
    </row>
    <row r="16" spans="2:12" x14ac:dyDescent="0.25">
      <c r="B16" t="s">
        <v>0</v>
      </c>
      <c r="C16" s="4">
        <f>IF(TEXT(C2,0) = "0",1,0)</f>
        <v>1</v>
      </c>
    </row>
    <row r="17" spans="2:6" x14ac:dyDescent="0.25">
      <c r="B17" t="s">
        <v>60</v>
      </c>
      <c r="C17">
        <f>IF(LEN(Request!C51)&gt;0,0,1)</f>
        <v>1</v>
      </c>
      <c r="F17" s="21"/>
    </row>
    <row r="18" spans="2:6" x14ac:dyDescent="0.25">
      <c r="B18" t="s">
        <v>29</v>
      </c>
      <c r="C18">
        <f>IF(TEXT(C13,0) = "0",1,0)</f>
        <v>1</v>
      </c>
    </row>
    <row r="19" spans="2:6" x14ac:dyDescent="0.25">
      <c r="B19" t="s">
        <v>304</v>
      </c>
      <c r="C19" s="12">
        <f>IF(TEXT(C14,0) = "0",1,0)</f>
        <v>1</v>
      </c>
    </row>
    <row r="20" spans="2:6" x14ac:dyDescent="0.25">
      <c r="B20" t="s">
        <v>468</v>
      </c>
      <c r="C20">
        <f>SUM(C16:C19)</f>
        <v>4</v>
      </c>
    </row>
    <row r="23" spans="2:6" ht="45" x14ac:dyDescent="0.25">
      <c r="B23" t="s">
        <v>238</v>
      </c>
      <c r="C23" s="272" t="e">
        <f>MID(Request!C23,2,LEN(Request!C23) -1)</f>
        <v>#VALUE!</v>
      </c>
      <c r="E23" s="266" t="s">
        <v>377</v>
      </c>
      <c r="F23" s="273" t="s">
        <v>244</v>
      </c>
    </row>
    <row r="24" spans="2:6" x14ac:dyDescent="0.25">
      <c r="E24" s="266" t="s">
        <v>378</v>
      </c>
      <c r="F24" s="273" t="s">
        <v>239</v>
      </c>
    </row>
    <row r="25" spans="2:6" x14ac:dyDescent="0.25">
      <c r="B25" s="266" t="s">
        <v>212</v>
      </c>
      <c r="C25" s="273" t="e">
        <f>F23 &amp; C23 &amp; F24</f>
        <v>#VALUE!</v>
      </c>
    </row>
    <row r="27" spans="2:6" x14ac:dyDescent="0.25">
      <c r="B27" t="s">
        <v>348</v>
      </c>
    </row>
    <row r="28" spans="2:6" x14ac:dyDescent="0.25">
      <c r="B28" s="266" t="s">
        <v>353</v>
      </c>
      <c r="C28" t="str">
        <f>IF(D10&gt;0,C25,"")</f>
        <v/>
      </c>
    </row>
    <row r="29" spans="2:6" x14ac:dyDescent="0.25">
      <c r="B29" s="267" t="s">
        <v>354</v>
      </c>
      <c r="C29" t="str">
        <f>IF(C9&gt;0,IF(C20=0,L5,""),"")</f>
        <v/>
      </c>
    </row>
    <row r="31" spans="2:6" x14ac:dyDescent="0.25">
      <c r="B31" t="s">
        <v>349</v>
      </c>
      <c r="C31" t="str">
        <f>IFERROR(C28 &amp; C29,"")</f>
        <v/>
      </c>
    </row>
    <row r="36" spans="2:2" x14ac:dyDescent="0.25">
      <c r="B36" s="264" t="s">
        <v>438</v>
      </c>
    </row>
    <row r="37" spans="2:2" x14ac:dyDescent="0.25">
      <c r="B37" s="264"/>
    </row>
    <row r="38" spans="2:2" x14ac:dyDescent="0.25">
      <c r="B38" s="264" t="s">
        <v>447</v>
      </c>
    </row>
    <row r="39" spans="2:2" x14ac:dyDescent="0.25">
      <c r="B39" s="264"/>
    </row>
    <row r="40" spans="2:2" x14ac:dyDescent="0.25">
      <c r="B40" s="264" t="s">
        <v>376</v>
      </c>
    </row>
    <row r="42" spans="2:2" x14ac:dyDescent="0.25">
      <c r="B42" s="264" t="s">
        <v>448</v>
      </c>
    </row>
    <row r="43" spans="2:2" x14ac:dyDescent="0.25">
      <c r="B43" s="264" t="s">
        <v>449</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15"/>
  <sheetViews>
    <sheetView workbookViewId="0">
      <selection activeCell="B14" sqref="B14:B15"/>
    </sheetView>
  </sheetViews>
  <sheetFormatPr defaultRowHeight="15" x14ac:dyDescent="0.25"/>
  <cols>
    <col min="1" max="1" width="26.140625" customWidth="1"/>
    <col min="6" max="6" width="27.140625" customWidth="1"/>
    <col min="7" max="7" width="31" customWidth="1"/>
  </cols>
  <sheetData>
    <row r="1" spans="1:7" x14ac:dyDescent="0.25">
      <c r="F1" t="s">
        <v>220</v>
      </c>
    </row>
    <row r="2" spans="1:7" x14ac:dyDescent="0.25">
      <c r="A2" t="s">
        <v>36</v>
      </c>
      <c r="B2">
        <f>IF(ServiceType!B3 = A2,1,0)</f>
        <v>0</v>
      </c>
      <c r="F2" t="s">
        <v>189</v>
      </c>
      <c r="G2">
        <f>IF(Request!C23 = F2,1,0)</f>
        <v>0</v>
      </c>
    </row>
    <row r="3" spans="1:7" x14ac:dyDescent="0.25">
      <c r="A3" t="s">
        <v>219</v>
      </c>
      <c r="B3">
        <f>IF(Request!C134="Yes",1,0)</f>
        <v>0</v>
      </c>
    </row>
    <row r="7" spans="1:7" x14ac:dyDescent="0.25">
      <c r="A7" t="s">
        <v>54</v>
      </c>
      <c r="B7">
        <f>SUM(B2:B6)</f>
        <v>0</v>
      </c>
    </row>
    <row r="10" spans="1:7" x14ac:dyDescent="0.25">
      <c r="A10" t="s">
        <v>55</v>
      </c>
      <c r="B10" t="str">
        <f>IF(B2&gt;0,"Next of Kin/ Personal Representative Details", "")</f>
        <v/>
      </c>
    </row>
    <row r="15" spans="1:7" x14ac:dyDescent="0.25">
      <c r="A15" s="264" t="s">
        <v>388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C14"/>
  <sheetViews>
    <sheetView workbookViewId="0">
      <selection activeCell="B14" sqref="B14:B15"/>
    </sheetView>
  </sheetViews>
  <sheetFormatPr defaultRowHeight="15" x14ac:dyDescent="0.25"/>
  <cols>
    <col min="2" max="2" width="49.42578125" customWidth="1"/>
  </cols>
  <sheetData>
    <row r="2" spans="2:3" x14ac:dyDescent="0.25">
      <c r="B2" t="s">
        <v>56</v>
      </c>
      <c r="C2">
        <f>IF(Request!C59="Classic",0,1)</f>
        <v>1</v>
      </c>
    </row>
    <row r="3" spans="2:3" x14ac:dyDescent="0.25">
      <c r="B3" t="s">
        <v>57</v>
      </c>
      <c r="C3">
        <f>IF(Request!C126="Yes",1,IF(Request!C126="Unknown",1,0))</f>
        <v>0</v>
      </c>
    </row>
    <row r="4" spans="2:3" x14ac:dyDescent="0.25">
      <c r="B4" t="s">
        <v>58</v>
      </c>
      <c r="C4">
        <f>IF(ServiceType!B3="Quote-Death-in-Service",1,0)</f>
        <v>0</v>
      </c>
    </row>
    <row r="5" spans="2:3" x14ac:dyDescent="0.25">
      <c r="C5" s="12"/>
    </row>
    <row r="6" spans="2:3" hidden="1" x14ac:dyDescent="0.25">
      <c r="B6" t="s">
        <v>188</v>
      </c>
      <c r="C6">
        <f>SUM(C3:C5)</f>
        <v>0</v>
      </c>
    </row>
    <row r="7" spans="2:3" x14ac:dyDescent="0.25">
      <c r="B7" t="s">
        <v>59</v>
      </c>
      <c r="C7">
        <f>SUM(C2:C4)</f>
        <v>1</v>
      </c>
    </row>
    <row r="14" spans="2:3" x14ac:dyDescent="0.25">
      <c r="B14" s="264" t="s">
        <v>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9"/>
  <sheetViews>
    <sheetView zoomScale="70" zoomScaleNormal="70" workbookViewId="0">
      <selection sqref="A1:XFD1048576"/>
    </sheetView>
  </sheetViews>
  <sheetFormatPr defaultRowHeight="15" x14ac:dyDescent="0.25"/>
  <cols>
    <col min="1" max="1" width="16.28515625" style="55" customWidth="1"/>
    <col min="2" max="2" width="9.140625" style="55"/>
    <col min="3" max="3" width="136.42578125" style="55" customWidth="1"/>
    <col min="4" max="4" width="102.28515625" style="55" customWidth="1"/>
    <col min="5" max="16384" width="9.140625" style="55"/>
  </cols>
  <sheetData>
    <row r="1" spans="2:7" ht="18" customHeight="1" x14ac:dyDescent="0.25"/>
    <row r="2" spans="2:7" ht="24.95" customHeight="1" x14ac:dyDescent="0.25">
      <c r="B2" s="387" t="s">
        <v>292</v>
      </c>
      <c r="C2" s="388"/>
      <c r="D2" s="237"/>
      <c r="E2" s="237"/>
      <c r="F2" s="237"/>
      <c r="G2" s="237"/>
    </row>
    <row r="3" spans="2:7" ht="18" customHeight="1" x14ac:dyDescent="0.25">
      <c r="B3" s="220"/>
      <c r="C3" s="235"/>
      <c r="D3" s="237"/>
      <c r="E3" s="237"/>
      <c r="F3" s="237"/>
      <c r="G3" s="237"/>
    </row>
    <row r="4" spans="2:7" ht="72" x14ac:dyDescent="0.25">
      <c r="B4" s="233" t="s">
        <v>279</v>
      </c>
      <c r="C4" s="230" t="s">
        <v>302</v>
      </c>
      <c r="D4" s="326"/>
      <c r="E4" s="326"/>
      <c r="F4" s="326"/>
      <c r="G4" s="326"/>
    </row>
    <row r="5" spans="2:7" ht="18" x14ac:dyDescent="0.25">
      <c r="B5" s="233" t="s">
        <v>279</v>
      </c>
      <c r="C5" s="327" t="s">
        <v>291</v>
      </c>
      <c r="D5" s="326"/>
      <c r="E5" s="326"/>
      <c r="F5" s="326"/>
      <c r="G5" s="326"/>
    </row>
    <row r="6" spans="2:7" ht="18" x14ac:dyDescent="0.25">
      <c r="B6" s="233" t="s">
        <v>279</v>
      </c>
      <c r="C6" s="327" t="s">
        <v>290</v>
      </c>
      <c r="D6" s="326"/>
      <c r="E6" s="326"/>
      <c r="F6" s="326"/>
      <c r="G6" s="326"/>
    </row>
    <row r="7" spans="2:7" ht="18" x14ac:dyDescent="0.25">
      <c r="B7" s="233" t="s">
        <v>279</v>
      </c>
      <c r="C7" s="327" t="s">
        <v>289</v>
      </c>
      <c r="D7" s="326"/>
      <c r="E7" s="326"/>
      <c r="F7" s="326"/>
      <c r="G7" s="326"/>
    </row>
    <row r="8" spans="2:7" ht="18" x14ac:dyDescent="0.25">
      <c r="B8" s="233" t="s">
        <v>279</v>
      </c>
      <c r="C8" s="327" t="s">
        <v>288</v>
      </c>
      <c r="D8" s="326"/>
      <c r="E8" s="326"/>
      <c r="F8" s="326"/>
      <c r="G8" s="326"/>
    </row>
    <row r="9" spans="2:7" ht="18" x14ac:dyDescent="0.25">
      <c r="B9" s="233" t="s">
        <v>279</v>
      </c>
      <c r="C9" s="327" t="s">
        <v>287</v>
      </c>
      <c r="D9" s="326"/>
      <c r="E9" s="326"/>
      <c r="F9" s="326"/>
      <c r="G9" s="326"/>
    </row>
    <row r="10" spans="2:7" s="322" customFormat="1" ht="18" x14ac:dyDescent="0.25">
      <c r="B10" s="321" t="s">
        <v>279</v>
      </c>
      <c r="C10" s="327" t="s">
        <v>478</v>
      </c>
      <c r="D10" s="327"/>
      <c r="E10" s="237"/>
      <c r="F10" s="237"/>
      <c r="G10" s="237"/>
    </row>
    <row r="11" spans="2:7" ht="36" x14ac:dyDescent="0.25">
      <c r="B11" s="233" t="s">
        <v>279</v>
      </c>
      <c r="C11" s="230" t="s">
        <v>286</v>
      </c>
      <c r="D11" s="326"/>
      <c r="E11" s="326"/>
      <c r="F11" s="326"/>
      <c r="G11" s="326"/>
    </row>
    <row r="12" spans="2:7" ht="18" customHeight="1" x14ac:dyDescent="0.25">
      <c r="B12" s="25"/>
      <c r="C12" s="236"/>
    </row>
    <row r="13" spans="2:7" ht="24.95" customHeight="1" x14ac:dyDescent="0.25">
      <c r="B13" s="387" t="s">
        <v>285</v>
      </c>
      <c r="C13" s="388"/>
      <c r="D13" s="234"/>
      <c r="E13" s="234"/>
      <c r="F13" s="234"/>
      <c r="G13" s="234"/>
    </row>
    <row r="14" spans="2:7" ht="18" customHeight="1" x14ac:dyDescent="0.25">
      <c r="B14" s="220"/>
      <c r="C14" s="235"/>
      <c r="D14" s="234"/>
      <c r="E14" s="234"/>
      <c r="F14" s="234"/>
      <c r="G14" s="234"/>
    </row>
    <row r="15" spans="2:7" ht="18" x14ac:dyDescent="0.25">
      <c r="B15" s="233" t="s">
        <v>279</v>
      </c>
      <c r="C15" s="230" t="s">
        <v>284</v>
      </c>
      <c r="D15" s="326"/>
      <c r="E15" s="326"/>
      <c r="F15" s="326"/>
      <c r="G15" s="326"/>
    </row>
    <row r="16" spans="2:7" ht="18" x14ac:dyDescent="0.25">
      <c r="B16" s="233"/>
      <c r="C16" s="230" t="s">
        <v>283</v>
      </c>
      <c r="D16" s="326"/>
      <c r="E16" s="326"/>
      <c r="F16" s="326"/>
      <c r="G16" s="326"/>
    </row>
    <row r="17" spans="2:7" ht="18" x14ac:dyDescent="0.25">
      <c r="B17" s="233"/>
      <c r="C17" s="230" t="s">
        <v>282</v>
      </c>
      <c r="D17" s="326"/>
      <c r="E17" s="326"/>
      <c r="F17" s="326"/>
      <c r="G17" s="326"/>
    </row>
    <row r="18" spans="2:7" ht="18" x14ac:dyDescent="0.25">
      <c r="B18" s="233"/>
      <c r="C18" s="230" t="s">
        <v>281</v>
      </c>
      <c r="D18" s="326"/>
      <c r="E18" s="326"/>
      <c r="F18" s="326"/>
      <c r="G18" s="326"/>
    </row>
    <row r="19" spans="2:7" ht="18" x14ac:dyDescent="0.25">
      <c r="B19" s="233"/>
      <c r="C19" s="230" t="s">
        <v>280</v>
      </c>
      <c r="D19" s="326"/>
      <c r="E19" s="326"/>
      <c r="F19" s="326"/>
      <c r="G19" s="326"/>
    </row>
    <row r="20" spans="2:7" ht="36" x14ac:dyDescent="0.25">
      <c r="B20" s="233" t="s">
        <v>279</v>
      </c>
      <c r="C20" s="230" t="s">
        <v>310</v>
      </c>
      <c r="D20" s="326"/>
      <c r="E20" s="326"/>
      <c r="F20" s="326"/>
      <c r="G20" s="326"/>
    </row>
    <row r="21" spans="2:7" ht="18" x14ac:dyDescent="0.25">
      <c r="B21" s="233" t="s">
        <v>279</v>
      </c>
      <c r="C21" s="230" t="s">
        <v>356</v>
      </c>
      <c r="D21" s="326"/>
      <c r="E21" s="326"/>
      <c r="F21" s="326"/>
      <c r="G21" s="326"/>
    </row>
    <row r="22" spans="2:7" ht="18" customHeight="1" x14ac:dyDescent="0.25">
      <c r="B22" s="25"/>
      <c r="C22" s="25"/>
    </row>
    <row r="23" spans="2:7" ht="24.95" customHeight="1" x14ac:dyDescent="0.25">
      <c r="B23" s="387" t="s">
        <v>278</v>
      </c>
      <c r="C23" s="388"/>
      <c r="D23" s="326"/>
      <c r="E23" s="326"/>
      <c r="F23" s="326"/>
      <c r="G23" s="326"/>
    </row>
    <row r="24" spans="2:7" ht="18" customHeight="1" x14ac:dyDescent="0.25">
      <c r="B24" s="220"/>
      <c r="C24" s="224"/>
      <c r="D24" s="326"/>
      <c r="E24" s="326"/>
      <c r="F24" s="326"/>
      <c r="G24" s="326"/>
    </row>
    <row r="25" spans="2:7" ht="18" x14ac:dyDescent="0.25">
      <c r="B25" s="220"/>
      <c r="C25" s="221" t="s">
        <v>277</v>
      </c>
      <c r="D25" s="326"/>
      <c r="E25" s="326"/>
      <c r="F25" s="326"/>
      <c r="G25" s="326"/>
    </row>
    <row r="26" spans="2:7" ht="36" x14ac:dyDescent="0.25">
      <c r="B26" s="220"/>
      <c r="C26" s="222" t="s">
        <v>479</v>
      </c>
      <c r="D26" s="222"/>
      <c r="E26" s="326"/>
      <c r="F26" s="326"/>
      <c r="G26" s="326"/>
    </row>
    <row r="27" spans="2:7" ht="18" customHeight="1" x14ac:dyDescent="0.25">
      <c r="B27" s="220"/>
      <c r="C27" s="232"/>
      <c r="D27" s="326"/>
      <c r="E27" s="326"/>
      <c r="F27" s="326"/>
      <c r="G27" s="326"/>
    </row>
    <row r="28" spans="2:7" ht="18" x14ac:dyDescent="0.25">
      <c r="B28" s="220"/>
      <c r="C28" s="221" t="s">
        <v>276</v>
      </c>
      <c r="D28" s="326"/>
      <c r="E28" s="326"/>
      <c r="F28" s="326"/>
      <c r="G28" s="326"/>
    </row>
    <row r="29" spans="2:7" ht="36" x14ac:dyDescent="0.25">
      <c r="B29" s="220"/>
      <c r="C29" s="231" t="s">
        <v>275</v>
      </c>
      <c r="D29" s="326"/>
      <c r="E29" s="326"/>
      <c r="F29" s="326"/>
      <c r="G29" s="326"/>
    </row>
    <row r="30" spans="2:7" ht="18" customHeight="1" x14ac:dyDescent="0.25">
      <c r="B30" s="32"/>
      <c r="C30" s="320"/>
      <c r="D30" s="217"/>
      <c r="E30" s="217"/>
      <c r="F30" s="217"/>
      <c r="G30" s="217"/>
    </row>
    <row r="31" spans="2:7" ht="18" x14ac:dyDescent="0.25">
      <c r="B31" s="220"/>
      <c r="C31" s="223" t="s">
        <v>274</v>
      </c>
      <c r="D31" s="326"/>
      <c r="E31" s="326"/>
      <c r="F31" s="326"/>
      <c r="G31" s="326"/>
    </row>
    <row r="32" spans="2:7" ht="36" x14ac:dyDescent="0.25">
      <c r="B32" s="220"/>
      <c r="C32" s="230" t="s">
        <v>273</v>
      </c>
      <c r="D32" s="326"/>
      <c r="E32" s="326"/>
      <c r="F32" s="326"/>
      <c r="G32" s="326"/>
    </row>
    <row r="33" spans="2:7" ht="90" x14ac:dyDescent="0.25">
      <c r="B33" s="220"/>
      <c r="C33" s="229" t="s">
        <v>300</v>
      </c>
      <c r="D33" s="326"/>
      <c r="E33" s="326"/>
      <c r="F33" s="326"/>
      <c r="G33" s="326"/>
    </row>
    <row r="34" spans="2:7" ht="18.75" x14ac:dyDescent="0.25">
      <c r="B34" s="220"/>
      <c r="C34" s="227" t="s">
        <v>301</v>
      </c>
      <c r="D34" s="326"/>
      <c r="E34" s="326"/>
      <c r="F34" s="326"/>
      <c r="G34" s="326"/>
    </row>
    <row r="35" spans="2:7" ht="54" x14ac:dyDescent="0.25">
      <c r="B35" s="220"/>
      <c r="C35" s="229" t="s">
        <v>480</v>
      </c>
      <c r="D35" s="229"/>
      <c r="E35" s="326"/>
      <c r="F35" s="326"/>
      <c r="G35" s="326"/>
    </row>
    <row r="36" spans="2:7" ht="18" customHeight="1" x14ac:dyDescent="0.25">
      <c r="B36" s="220"/>
      <c r="C36" s="228"/>
      <c r="D36" s="326"/>
      <c r="E36" s="326"/>
      <c r="F36" s="326"/>
      <c r="G36" s="326"/>
    </row>
    <row r="37" spans="2:7" ht="36" x14ac:dyDescent="0.25">
      <c r="B37" s="220"/>
      <c r="C37" s="224" t="s">
        <v>481</v>
      </c>
      <c r="D37" s="326"/>
      <c r="E37" s="326"/>
      <c r="F37" s="326"/>
      <c r="G37" s="326"/>
    </row>
    <row r="38" spans="2:7" ht="56.25" customHeight="1" x14ac:dyDescent="0.25">
      <c r="B38" s="220"/>
      <c r="C38" s="218" t="s">
        <v>482</v>
      </c>
      <c r="D38" s="326"/>
      <c r="E38" s="326"/>
      <c r="F38" s="326"/>
      <c r="G38" s="326"/>
    </row>
    <row r="39" spans="2:7" ht="57" customHeight="1" x14ac:dyDescent="0.25">
      <c r="B39" s="220"/>
      <c r="C39" s="219" t="s">
        <v>357</v>
      </c>
      <c r="D39" s="326"/>
      <c r="E39" s="326"/>
      <c r="F39" s="326"/>
      <c r="G39" s="326"/>
    </row>
    <row r="40" spans="2:7" ht="47.25" customHeight="1" x14ac:dyDescent="0.25">
      <c r="B40" s="220"/>
      <c r="C40" s="222" t="s">
        <v>483</v>
      </c>
      <c r="D40" s="310"/>
      <c r="E40" s="326"/>
      <c r="F40" s="326"/>
      <c r="G40" s="326"/>
    </row>
    <row r="41" spans="2:7" ht="40.5" customHeight="1" x14ac:dyDescent="0.25">
      <c r="B41" s="220"/>
      <c r="C41" s="222" t="s">
        <v>484</v>
      </c>
      <c r="D41" s="310"/>
      <c r="E41" s="326"/>
      <c r="F41" s="326"/>
      <c r="G41" s="326"/>
    </row>
    <row r="42" spans="2:7" ht="18" customHeight="1" x14ac:dyDescent="0.25">
      <c r="B42" s="220"/>
      <c r="C42" s="227"/>
      <c r="D42" s="326"/>
      <c r="E42" s="326"/>
      <c r="F42" s="326"/>
      <c r="G42" s="326"/>
    </row>
    <row r="43" spans="2:7" ht="18" x14ac:dyDescent="0.25">
      <c r="B43" s="226"/>
      <c r="C43" s="223" t="s">
        <v>272</v>
      </c>
      <c r="D43" s="225"/>
      <c r="E43" s="225"/>
      <c r="F43" s="225"/>
      <c r="G43" s="225"/>
    </row>
    <row r="44" spans="2:7" ht="39" customHeight="1" x14ac:dyDescent="0.25">
      <c r="B44" s="220"/>
      <c r="C44" s="218" t="s">
        <v>350</v>
      </c>
      <c r="D44" s="326"/>
      <c r="E44" s="326"/>
      <c r="F44" s="326"/>
      <c r="G44" s="326"/>
    </row>
    <row r="45" spans="2:7" ht="18" customHeight="1" x14ac:dyDescent="0.25">
      <c r="B45" s="220"/>
      <c r="C45" s="218"/>
      <c r="D45" s="326"/>
      <c r="E45" s="326"/>
      <c r="F45" s="326"/>
      <c r="G45" s="326"/>
    </row>
    <row r="46" spans="2:7" ht="18" customHeight="1" x14ac:dyDescent="0.25">
      <c r="B46" s="220"/>
      <c r="C46" s="224" t="s">
        <v>271</v>
      </c>
      <c r="D46" s="326"/>
      <c r="E46" s="326"/>
      <c r="F46" s="326"/>
      <c r="G46" s="326"/>
    </row>
    <row r="47" spans="2:7" ht="77.25" customHeight="1" x14ac:dyDescent="0.25">
      <c r="B47" s="220"/>
      <c r="C47" s="218" t="s">
        <v>358</v>
      </c>
      <c r="D47" s="326"/>
      <c r="E47" s="326"/>
      <c r="F47" s="326"/>
      <c r="G47" s="326"/>
    </row>
    <row r="48" spans="2:7" ht="18" customHeight="1" x14ac:dyDescent="0.25">
      <c r="B48" s="220"/>
      <c r="C48" s="218"/>
      <c r="D48" s="326"/>
      <c r="E48" s="326"/>
      <c r="F48" s="326"/>
      <c r="G48" s="326"/>
    </row>
    <row r="49" spans="2:7" ht="18" customHeight="1" x14ac:dyDescent="0.25">
      <c r="B49" s="220"/>
      <c r="C49" s="223" t="s">
        <v>294</v>
      </c>
      <c r="D49" s="326"/>
      <c r="E49" s="326"/>
      <c r="F49" s="326"/>
      <c r="G49" s="326"/>
    </row>
    <row r="50" spans="2:7" ht="23.25" customHeight="1" x14ac:dyDescent="0.25">
      <c r="B50" s="220"/>
      <c r="C50" s="218" t="s">
        <v>295</v>
      </c>
      <c r="D50" s="326"/>
      <c r="E50" s="326"/>
      <c r="F50" s="326"/>
      <c r="G50" s="326"/>
    </row>
    <row r="51" spans="2:7" ht="18" customHeight="1" x14ac:dyDescent="0.25">
      <c r="B51" s="220"/>
      <c r="C51" s="218"/>
      <c r="D51" s="326"/>
      <c r="E51" s="326"/>
      <c r="F51" s="326"/>
      <c r="G51" s="326"/>
    </row>
    <row r="52" spans="2:7" ht="24" customHeight="1" x14ac:dyDescent="0.25">
      <c r="B52" s="387" t="s">
        <v>296</v>
      </c>
      <c r="C52" s="388"/>
      <c r="D52" s="326"/>
      <c r="E52" s="326"/>
      <c r="F52" s="326"/>
      <c r="G52" s="326"/>
    </row>
    <row r="53" spans="2:7" ht="18" customHeight="1" x14ac:dyDescent="0.25">
      <c r="B53" s="391" t="s">
        <v>298</v>
      </c>
      <c r="C53" s="391"/>
      <c r="D53" s="326"/>
      <c r="E53" s="326"/>
      <c r="F53" s="326"/>
      <c r="G53" s="326"/>
    </row>
    <row r="54" spans="2:7" ht="18" customHeight="1" x14ac:dyDescent="0.25">
      <c r="B54" s="32"/>
      <c r="C54" s="223"/>
      <c r="D54" s="325"/>
      <c r="E54" s="326"/>
      <c r="F54" s="326"/>
      <c r="G54" s="326"/>
    </row>
    <row r="55" spans="2:7" ht="18" x14ac:dyDescent="0.25">
      <c r="B55" s="389" t="s">
        <v>297</v>
      </c>
      <c r="C55" s="389"/>
      <c r="D55" s="217"/>
      <c r="E55" s="217"/>
      <c r="F55" s="217"/>
      <c r="G55" s="217"/>
    </row>
    <row r="56" spans="2:7" ht="18" customHeight="1" x14ac:dyDescent="0.25">
      <c r="B56" s="233"/>
      <c r="C56" s="229"/>
      <c r="D56" s="217"/>
      <c r="E56" s="217"/>
      <c r="F56" s="217"/>
      <c r="G56" s="217"/>
    </row>
    <row r="57" spans="2:7" ht="75.75" customHeight="1" x14ac:dyDescent="0.25">
      <c r="B57" s="233" t="s">
        <v>279</v>
      </c>
      <c r="C57" s="261" t="s">
        <v>486</v>
      </c>
      <c r="D57" s="326"/>
      <c r="E57" s="326"/>
      <c r="F57" s="326"/>
      <c r="G57" s="326"/>
    </row>
    <row r="58" spans="2:7" ht="18" customHeight="1" x14ac:dyDescent="0.25">
      <c r="B58" s="233"/>
      <c r="C58" s="261"/>
      <c r="D58" s="326"/>
      <c r="E58" s="326"/>
      <c r="F58" s="326"/>
      <c r="G58" s="326"/>
    </row>
    <row r="59" spans="2:7" ht="76.5" customHeight="1" x14ac:dyDescent="0.25">
      <c r="B59" s="233" t="s">
        <v>279</v>
      </c>
      <c r="C59" s="261" t="s">
        <v>487</v>
      </c>
      <c r="D59" s="261"/>
      <c r="E59" s="326"/>
      <c r="F59" s="326"/>
      <c r="G59" s="326"/>
    </row>
    <row r="60" spans="2:7" ht="18" customHeight="1" x14ac:dyDescent="0.25">
      <c r="B60" s="233"/>
      <c r="C60" s="261"/>
      <c r="D60" s="261"/>
      <c r="E60" s="326"/>
      <c r="F60" s="326"/>
      <c r="G60" s="326"/>
    </row>
    <row r="61" spans="2:7" ht="18" customHeight="1" x14ac:dyDescent="0.25">
      <c r="B61" s="392" t="s">
        <v>467</v>
      </c>
      <c r="C61" s="392"/>
      <c r="D61" s="326"/>
      <c r="E61" s="326"/>
      <c r="F61" s="326"/>
      <c r="G61" s="326"/>
    </row>
    <row r="62" spans="2:7" ht="23.25" customHeight="1" x14ac:dyDescent="0.25">
      <c r="B62" s="389" t="s">
        <v>485</v>
      </c>
      <c r="C62" s="389"/>
      <c r="D62" s="261"/>
      <c r="E62" s="326"/>
      <c r="F62" s="326"/>
      <c r="G62" s="326"/>
    </row>
    <row r="63" spans="2:7" ht="18" customHeight="1" x14ac:dyDescent="0.25">
      <c r="B63" s="327"/>
      <c r="C63" s="327"/>
      <c r="D63" s="261"/>
      <c r="E63" s="326"/>
      <c r="F63" s="326"/>
      <c r="G63" s="326"/>
    </row>
    <row r="64" spans="2:7" ht="129.75" customHeight="1" x14ac:dyDescent="0.25">
      <c r="B64" s="321" t="s">
        <v>279</v>
      </c>
      <c r="C64" s="329" t="s">
        <v>488</v>
      </c>
      <c r="D64" s="261"/>
      <c r="E64" s="326"/>
      <c r="F64" s="326"/>
      <c r="G64" s="326"/>
    </row>
    <row r="65" spans="2:7" ht="18" customHeight="1" x14ac:dyDescent="0.25">
      <c r="B65" s="321"/>
      <c r="C65" s="328"/>
      <c r="D65" s="261"/>
      <c r="E65" s="326"/>
      <c r="F65" s="326"/>
      <c r="G65" s="326"/>
    </row>
    <row r="66" spans="2:7" ht="93" customHeight="1" x14ac:dyDescent="0.25">
      <c r="B66" s="321" t="s">
        <v>279</v>
      </c>
      <c r="C66" s="323" t="s">
        <v>489</v>
      </c>
      <c r="D66" s="261"/>
      <c r="E66" s="326"/>
      <c r="F66" s="326"/>
      <c r="G66" s="326"/>
    </row>
    <row r="67" spans="2:7" ht="18" customHeight="1" x14ac:dyDescent="0.25">
      <c r="B67" s="324"/>
      <c r="C67" s="232"/>
      <c r="D67" s="326"/>
      <c r="E67" s="326"/>
      <c r="F67" s="326"/>
      <c r="G67" s="326"/>
    </row>
    <row r="68" spans="2:7" ht="46.5" customHeight="1" x14ac:dyDescent="0.25">
      <c r="B68" s="390" t="s">
        <v>299</v>
      </c>
      <c r="C68" s="390"/>
      <c r="D68" s="386"/>
      <c r="E68" s="386"/>
      <c r="F68" s="326"/>
      <c r="G68" s="326"/>
    </row>
    <row r="69" spans="2:7" ht="94.5" customHeight="1" x14ac:dyDescent="0.25">
      <c r="B69" s="321" t="s">
        <v>279</v>
      </c>
      <c r="C69" s="261" t="s">
        <v>490</v>
      </c>
      <c r="D69" s="326"/>
      <c r="E69" s="326"/>
      <c r="F69" s="326"/>
      <c r="G69" s="326"/>
    </row>
    <row r="70" spans="2:7" ht="18" customHeight="1" x14ac:dyDescent="0.25">
      <c r="B70" s="321"/>
      <c r="C70" s="261"/>
      <c r="D70" s="311"/>
      <c r="E70" s="326"/>
      <c r="F70" s="326"/>
      <c r="G70" s="326"/>
    </row>
    <row r="71" spans="2:7" ht="78" customHeight="1" x14ac:dyDescent="0.25">
      <c r="B71" s="321" t="s">
        <v>279</v>
      </c>
      <c r="C71" s="261" t="s">
        <v>491</v>
      </c>
      <c r="D71" s="326"/>
      <c r="E71" s="326"/>
      <c r="F71" s="326"/>
      <c r="G71" s="326"/>
    </row>
    <row r="72" spans="2:7" x14ac:dyDescent="0.25">
      <c r="B72" s="322"/>
      <c r="C72" s="322"/>
      <c r="D72" s="326"/>
      <c r="E72" s="326"/>
      <c r="F72" s="326"/>
      <c r="G72" s="326"/>
    </row>
    <row r="73" spans="2:7" ht="5.0999999999999996" customHeight="1" x14ac:dyDescent="0.25">
      <c r="B73" s="322"/>
      <c r="C73" s="322"/>
      <c r="D73" s="326"/>
      <c r="E73" s="326"/>
      <c r="F73" s="326"/>
      <c r="G73" s="326"/>
    </row>
    <row r="74" spans="2:7" ht="18" x14ac:dyDescent="0.25">
      <c r="B74" s="322"/>
      <c r="C74" s="322"/>
      <c r="D74" s="238"/>
      <c r="E74" s="326"/>
      <c r="F74" s="326"/>
      <c r="G74" s="326"/>
    </row>
    <row r="75" spans="2:7" ht="18" customHeight="1" x14ac:dyDescent="0.25">
      <c r="B75" s="321"/>
      <c r="C75" s="261"/>
      <c r="D75" s="238"/>
      <c r="E75" s="326"/>
      <c r="F75" s="326"/>
      <c r="G75" s="326"/>
    </row>
    <row r="76" spans="2:7" ht="18" x14ac:dyDescent="0.25">
      <c r="B76" s="321"/>
      <c r="C76" s="261"/>
      <c r="D76" s="217"/>
      <c r="E76" s="217"/>
      <c r="F76" s="217"/>
      <c r="G76" s="217"/>
    </row>
    <row r="77" spans="2:7" x14ac:dyDescent="0.25">
      <c r="B77" s="322"/>
      <c r="C77" s="322"/>
    </row>
    <row r="78" spans="2:7" x14ac:dyDescent="0.25">
      <c r="B78" s="322"/>
      <c r="C78" s="322"/>
    </row>
    <row r="79" spans="2:7" x14ac:dyDescent="0.25">
      <c r="B79" s="322"/>
      <c r="C79" s="322"/>
    </row>
  </sheetData>
  <sheetProtection password="EDF1" sheet="1" objects="1" scenarios="1" selectLockedCells="1" selectUnlockedCells="1"/>
  <mergeCells count="10">
    <mergeCell ref="D68:E68"/>
    <mergeCell ref="B2:C2"/>
    <mergeCell ref="B13:C13"/>
    <mergeCell ref="B23:C23"/>
    <mergeCell ref="B55:C55"/>
    <mergeCell ref="B68:C68"/>
    <mergeCell ref="B52:C52"/>
    <mergeCell ref="B53:C53"/>
    <mergeCell ref="B61:C61"/>
    <mergeCell ref="B62:C6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6"/>
  <sheetViews>
    <sheetView workbookViewId="0">
      <selection activeCell="B14" sqref="B14:B15"/>
    </sheetView>
  </sheetViews>
  <sheetFormatPr defaultRowHeight="15" x14ac:dyDescent="0.25"/>
  <cols>
    <col min="1" max="1" width="26.140625" style="12" customWidth="1"/>
    <col min="2" max="2" width="70.7109375" customWidth="1"/>
  </cols>
  <sheetData>
    <row r="1" spans="1:3" x14ac:dyDescent="0.25">
      <c r="B1" t="s">
        <v>172</v>
      </c>
    </row>
    <row r="3" spans="1:3" x14ac:dyDescent="0.25">
      <c r="B3" t="s">
        <v>173</v>
      </c>
      <c r="C3">
        <f>IF(ServiceType!B3="Estimate-Efficiency Dismissal (with compensation)", 1, 0)</f>
        <v>0</v>
      </c>
    </row>
    <row r="4" spans="1:3" x14ac:dyDescent="0.25">
      <c r="B4" t="s">
        <v>156</v>
      </c>
      <c r="C4" s="12">
        <f>IF(ServiceType!B3="Quote-Efficiency Dismissal (with compensation)", 1, 0)</f>
        <v>0</v>
      </c>
    </row>
    <row r="5" spans="1:3" s="12" customFormat="1" x14ac:dyDescent="0.25"/>
    <row r="6" spans="1:3" s="12" customFormat="1" x14ac:dyDescent="0.25">
      <c r="B6" s="12" t="s">
        <v>52</v>
      </c>
      <c r="C6" s="12">
        <f>SUM(C3:C5)</f>
        <v>0</v>
      </c>
    </row>
    <row r="8" spans="1:3" x14ac:dyDescent="0.25">
      <c r="A8" s="12" t="s">
        <v>395</v>
      </c>
      <c r="B8" t="str">
        <f>IF(C6&gt;0, "If the member is being dismissed, please supply the compensation % payable *", "")</f>
        <v/>
      </c>
    </row>
    <row r="9" spans="1:3" x14ac:dyDescent="0.25">
      <c r="A9" s="12" t="s">
        <v>174</v>
      </c>
      <c r="B9" s="12" t="str">
        <f>IF(C6 + B11 &gt;1, "Compensation % is mandatory!", "")</f>
        <v/>
      </c>
    </row>
    <row r="10" spans="1:3" x14ac:dyDescent="0.25">
      <c r="A10" s="12" t="s">
        <v>267</v>
      </c>
      <c r="B10" s="204">
        <f>Request!C118</f>
        <v>0</v>
      </c>
    </row>
    <row r="11" spans="1:3" x14ac:dyDescent="0.25">
      <c r="A11" s="12" t="s">
        <v>268</v>
      </c>
      <c r="B11">
        <f>IF(B10&gt;0,0,1)</f>
        <v>1</v>
      </c>
    </row>
    <row r="14" spans="1:3" x14ac:dyDescent="0.25">
      <c r="A14" s="264" t="s">
        <v>391</v>
      </c>
    </row>
    <row r="15" spans="1:3" x14ac:dyDescent="0.25">
      <c r="A15" s="264"/>
    </row>
    <row r="16" spans="1:3" x14ac:dyDescent="0.25">
      <c r="A16" s="264" t="s">
        <v>392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H16"/>
  <sheetViews>
    <sheetView workbookViewId="0">
      <selection activeCell="B14" sqref="B14:B15"/>
    </sheetView>
  </sheetViews>
  <sheetFormatPr defaultRowHeight="15" x14ac:dyDescent="0.25"/>
  <cols>
    <col min="1" max="1" width="26.140625" customWidth="1"/>
    <col min="2" max="2" width="67.140625" customWidth="1"/>
    <col min="3" max="3" width="53" customWidth="1"/>
    <col min="4" max="4" width="44.85546875" customWidth="1"/>
    <col min="5" max="5" width="19" customWidth="1"/>
    <col min="6" max="6" width="41.42578125" customWidth="1"/>
    <col min="7" max="7" width="23" customWidth="1"/>
  </cols>
  <sheetData>
    <row r="1" spans="1:8" ht="46.5" customHeight="1" x14ac:dyDescent="0.25">
      <c r="A1" s="264" t="s">
        <v>429</v>
      </c>
    </row>
    <row r="3" spans="1:8" s="6" customFormat="1" ht="15.75" customHeight="1" x14ac:dyDescent="0.25">
      <c r="A3" s="6" t="s">
        <v>402</v>
      </c>
      <c r="B3" s="6" t="s">
        <v>51</v>
      </c>
      <c r="C3" s="6" t="s">
        <v>403</v>
      </c>
    </row>
    <row r="4" spans="1:8" ht="41.25" customHeight="1" x14ac:dyDescent="0.25">
      <c r="A4" t="s">
        <v>181</v>
      </c>
      <c r="B4" s="2" t="str">
        <f>IF(ServiceType!B3="Quote-Ill Health Retirement", "Please provide a medical certificate received from the Scheme Medical Advisor (SMA) with this form. Civil Service Pensions will be unable to process your request without this certificate.", IF(ServiceType!B3="Quote-Early Preserved", "Please provide a medical certificate received from the Scheme Medical Advisor (SMA) with this form. Civil Service Pensions will be unable to process your request without this certificate. ",""))</f>
        <v/>
      </c>
      <c r="C4" t="s">
        <v>32</v>
      </c>
      <c r="D4" t="s">
        <v>362</v>
      </c>
    </row>
    <row r="5" spans="1:8" ht="64.5" customHeight="1" x14ac:dyDescent="0.25">
      <c r="A5" t="s">
        <v>396</v>
      </c>
      <c r="B5" s="2" t="str">
        <f>IF(H5="Yes",F5,"")</f>
        <v/>
      </c>
      <c r="C5" t="s">
        <v>156</v>
      </c>
      <c r="E5" t="s">
        <v>422</v>
      </c>
      <c r="F5" s="2" t="str">
        <f>IF(ServiceType!B3="Quote-Efficiency Dismissal (with compensation)","Please ensure that the member has been informed that they will be required to pay back any dismissal compensation paid to them, following a successful ill-health retirement application appeal.", "")</f>
        <v/>
      </c>
      <c r="G5" t="s">
        <v>425</v>
      </c>
      <c r="H5">
        <f>Request!C126</f>
        <v>0</v>
      </c>
    </row>
    <row r="6" spans="1:8" s="12" customFormat="1" x14ac:dyDescent="0.25">
      <c r="A6" s="12" t="s">
        <v>399</v>
      </c>
      <c r="B6" s="2" t="str">
        <f>IF(Request!C126="Yes", IF(ServiceType!B3="Quote-Death-in-Service","Please provide the Death Benefit Nomination (DBN) form with this form.", ""),"")</f>
        <v/>
      </c>
      <c r="C6" s="12" t="s">
        <v>36</v>
      </c>
    </row>
    <row r="7" spans="1:8" s="12" customFormat="1" x14ac:dyDescent="0.25">
      <c r="A7" s="12" t="s">
        <v>400</v>
      </c>
      <c r="B7" s="2" t="str">
        <f>'ARR&amp;AgeValidation'!C31</f>
        <v/>
      </c>
      <c r="C7" s="12" t="s">
        <v>11</v>
      </c>
      <c r="D7" s="12" t="s">
        <v>39</v>
      </c>
    </row>
    <row r="8" spans="1:8" ht="40.5" customHeight="1" x14ac:dyDescent="0.25">
      <c r="A8" t="s">
        <v>494</v>
      </c>
      <c r="B8" s="2" t="str">
        <f>IF(OR(ServiceType!B3="Quote-Leaver-2 or more years service", ServiceType!B3="Quote-Leaver-less than 2 years service"),
"Please note that manual and standard interface users do not need to provide this form for resignations.","")</f>
        <v/>
      </c>
      <c r="C8" t="s">
        <v>12</v>
      </c>
      <c r="D8" s="12" t="s">
        <v>43</v>
      </c>
    </row>
    <row r="9" spans="1:8" s="12" customFormat="1" ht="40.5" customHeight="1" x14ac:dyDescent="0.25">
      <c r="A9" s="12" t="s">
        <v>428</v>
      </c>
    </row>
    <row r="10" spans="1:8" s="12" customFormat="1" ht="40.5" customHeight="1" x14ac:dyDescent="0.25">
      <c r="A10" s="12" t="s">
        <v>428</v>
      </c>
    </row>
    <row r="11" spans="1:8" ht="45" x14ac:dyDescent="0.25">
      <c r="A11" t="s">
        <v>51</v>
      </c>
      <c r="B11" s="272" t="str">
        <f>IFERROR(B4 &amp; B5 &amp; B6 &amp; B7 &amp; B8,"")</f>
        <v/>
      </c>
    </row>
    <row r="14" spans="1:8" s="12" customFormat="1" x14ac:dyDescent="0.25">
      <c r="A14" s="12" t="s">
        <v>424</v>
      </c>
      <c r="B14" s="2" t="str">
        <f>IF(Compensation!C6&gt;0,"Please ensure that the member has been informed that they may have to pay back their dismissal compensation.","")</f>
        <v/>
      </c>
      <c r="C14" s="12" t="s">
        <v>173</v>
      </c>
      <c r="D14" s="12" t="s">
        <v>156</v>
      </c>
    </row>
    <row r="16" spans="1:8" s="12" customFormat="1" x14ac:dyDescent="0.25">
      <c r="A16" s="12" t="s">
        <v>190</v>
      </c>
      <c r="B16" s="12" t="str">
        <f>IF('ARR&amp;AgeValidation'!D10&gt;1,"","")</f>
        <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B14" sqref="B14:B15"/>
    </sheetView>
  </sheetViews>
  <sheetFormatPr defaultRowHeight="15" x14ac:dyDescent="0.25"/>
  <cols>
    <col min="1" max="1" width="30.85546875" customWidth="1"/>
    <col min="2" max="2" width="51.85546875" customWidth="1"/>
    <col min="3" max="3" width="25.7109375" customWidth="1"/>
    <col min="4" max="4" width="14.5703125" customWidth="1"/>
    <col min="5" max="5" width="17.140625" customWidth="1"/>
    <col min="6" max="6" width="20" customWidth="1"/>
    <col min="7" max="7" width="43.7109375" customWidth="1"/>
    <col min="9" max="9" width="25.140625" customWidth="1"/>
  </cols>
  <sheetData>
    <row r="1" spans="1:10" ht="40.5" customHeight="1" x14ac:dyDescent="0.25">
      <c r="A1" s="264" t="s">
        <v>430</v>
      </c>
    </row>
    <row r="2" spans="1:10" s="12" customFormat="1" x14ac:dyDescent="0.25">
      <c r="A2" s="264"/>
    </row>
    <row r="3" spans="1:10" s="12" customFormat="1" x14ac:dyDescent="0.25">
      <c r="A3" s="264"/>
    </row>
    <row r="4" spans="1:10" s="6" customFormat="1" x14ac:dyDescent="0.25">
      <c r="A4" s="6" t="s">
        <v>402</v>
      </c>
      <c r="B4" s="6" t="s">
        <v>51</v>
      </c>
      <c r="C4" s="6" t="s">
        <v>403</v>
      </c>
    </row>
    <row r="5" spans="1:10" x14ac:dyDescent="0.25">
      <c r="A5" t="s">
        <v>428</v>
      </c>
    </row>
    <row r="7" spans="1:10" ht="54.75" customHeight="1" x14ac:dyDescent="0.25">
      <c r="A7" t="s">
        <v>401</v>
      </c>
      <c r="B7" s="2" t="str">
        <f>IF(J7="Yes",G7,"")</f>
        <v/>
      </c>
      <c r="C7" t="s">
        <v>32</v>
      </c>
      <c r="F7" t="s">
        <v>422</v>
      </c>
      <c r="G7" s="2" t="str">
        <f>IF(ServiceType!B3="Quote-Ill Health Retirement","Please ensure that the member has been informed that if they have previously been dismissed with compensation, they will be required to pay back their compensation.", "")</f>
        <v/>
      </c>
      <c r="I7" t="s">
        <v>423</v>
      </c>
      <c r="J7">
        <f>Request!C126</f>
        <v>0</v>
      </c>
    </row>
    <row r="13" spans="1:10" ht="60" x14ac:dyDescent="0.25">
      <c r="A13" t="s">
        <v>349</v>
      </c>
      <c r="B13" s="296" t="str">
        <f>IFERROR(B5 &amp; B6 &amp; B7,"")</f>
        <v/>
      </c>
    </row>
    <row r="17" spans="1:4" x14ac:dyDescent="0.25">
      <c r="A17" t="s">
        <v>427</v>
      </c>
    </row>
    <row r="18" spans="1:4" x14ac:dyDescent="0.25">
      <c r="A18" t="s">
        <v>399</v>
      </c>
      <c r="B18" s="2" t="str">
        <f>IF(Request!C126="Yes", IF(ServiceType!B3="Quote-Death-in-Service","Please provide the Death Benefit Nomination (DBN) form with this form.", ""),"")</f>
        <v/>
      </c>
      <c r="C18" t="s">
        <v>36</v>
      </c>
    </row>
    <row r="19" spans="1:4" x14ac:dyDescent="0.25">
      <c r="A19" t="s">
        <v>400</v>
      </c>
      <c r="B19" s="2" t="str">
        <f>'ARR&amp;AgeValidation'!C31</f>
        <v/>
      </c>
      <c r="C19" t="s">
        <v>11</v>
      </c>
      <c r="D19" t="s">
        <v>39</v>
      </c>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workbookViewId="0">
      <selection activeCell="B14" sqref="B14:B15"/>
    </sheetView>
  </sheetViews>
  <sheetFormatPr defaultRowHeight="15" x14ac:dyDescent="0.25"/>
  <cols>
    <col min="1" max="1" width="33.42578125" customWidth="1"/>
    <col min="2" max="2" width="18.7109375" customWidth="1"/>
  </cols>
  <sheetData>
    <row r="2" spans="1:2" x14ac:dyDescent="0.25">
      <c r="A2" t="s">
        <v>51</v>
      </c>
      <c r="B2" t="str">
        <f>IF(ServiceType!B3 = "Quote-Divorce", "Member's last day of service (DD/MM/YYYY)", IF(ServiceType!B3 = "Quote-Early Preserved","The date the request for early payment was received by the employing department (DD/MM/YYYY) *","Member's last day of service (DD/MM/YYYY) *"))</f>
        <v>Member's last day of service (DD/MM/YYYY) *</v>
      </c>
    </row>
    <row r="3" spans="1:2" x14ac:dyDescent="0.25">
      <c r="A3" t="s">
        <v>174</v>
      </c>
      <c r="B3" t="str">
        <f>IF(ServiceType!B3 = "Quote-Divorce","", "Mandatory Field")</f>
        <v>Mandatory Field</v>
      </c>
    </row>
    <row r="4" spans="1:2" x14ac:dyDescent="0.25">
      <c r="A4" t="s">
        <v>263</v>
      </c>
      <c r="B4" s="4">
        <f>LEN(Request!C27)</f>
        <v>0</v>
      </c>
    </row>
    <row r="5" spans="1:2" x14ac:dyDescent="0.25">
      <c r="A5" t="s">
        <v>264</v>
      </c>
      <c r="B5">
        <f>IF(B4=0,1,0)</f>
        <v>1</v>
      </c>
    </row>
    <row r="6" spans="1:2" x14ac:dyDescent="0.25">
      <c r="A6" t="s">
        <v>265</v>
      </c>
      <c r="B6">
        <f>IF(B3="Mandatory Field",1,0)</f>
        <v>1</v>
      </c>
    </row>
    <row r="7" spans="1:2" x14ac:dyDescent="0.25">
      <c r="B7">
        <f>SUM(B5:B6)</f>
        <v>2</v>
      </c>
    </row>
    <row r="8" spans="1:2" x14ac:dyDescent="0.25">
      <c r="A8" t="s">
        <v>266</v>
      </c>
      <c r="B8" t="str">
        <f>IF(B7&gt;1,"Mandatory!","")</f>
        <v>Mandatory!</v>
      </c>
    </row>
    <row r="12" spans="1:2" x14ac:dyDescent="0.25">
      <c r="A12" s="264" t="s">
        <v>432</v>
      </c>
    </row>
    <row r="14" spans="1:2" x14ac:dyDescent="0.25">
      <c r="A14" s="264" t="s">
        <v>434</v>
      </c>
    </row>
    <row r="15" spans="1:2" x14ac:dyDescent="0.25">
      <c r="A15" s="264"/>
    </row>
    <row r="16" spans="1:2" x14ac:dyDescent="0.25">
      <c r="A16" s="264" t="s">
        <v>435</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5" x14ac:dyDescent="0.25"/>
  <cols>
    <col min="1" max="1" width="29.42578125" customWidth="1"/>
    <col min="2" max="2" width="59.42578125" customWidth="1"/>
    <col min="3" max="3" width="25.7109375" customWidth="1"/>
    <col min="4" max="4" width="33.140625" customWidth="1"/>
    <col min="6" max="6" width="26.85546875" customWidth="1"/>
  </cols>
  <sheetData>
    <row r="1" spans="1:7" x14ac:dyDescent="0.25">
      <c r="A1" s="12"/>
      <c r="B1" s="12" t="s">
        <v>193</v>
      </c>
      <c r="C1" s="12"/>
      <c r="F1" t="s">
        <v>194</v>
      </c>
    </row>
    <row r="2" spans="1:7" x14ac:dyDescent="0.25">
      <c r="A2" s="12"/>
      <c r="B2" s="12"/>
      <c r="C2" s="12"/>
    </row>
    <row r="3" spans="1:7" x14ac:dyDescent="0.25">
      <c r="A3" s="12"/>
      <c r="B3" s="12" t="s">
        <v>37</v>
      </c>
      <c r="C3" s="12">
        <f>IF(ServiceType!B3="Estimate-Death", 1, 0)</f>
        <v>0</v>
      </c>
      <c r="D3" t="str">
        <f>IF(C3&gt;0,"Projected Date of Death (DD/MM/YYYY) *","")</f>
        <v/>
      </c>
      <c r="F3" t="s">
        <v>38</v>
      </c>
      <c r="G3">
        <f>IF(ServiceType!B3="Sick Pay at Pension Rate", 1, 0)</f>
        <v>0</v>
      </c>
    </row>
    <row r="4" spans="1:7" x14ac:dyDescent="0.25">
      <c r="A4" s="12"/>
      <c r="B4" s="12" t="s">
        <v>36</v>
      </c>
      <c r="C4" s="12">
        <f>IF(ServiceType!B3="Quote-Death-in-Service", 1, 0)</f>
        <v>0</v>
      </c>
      <c r="D4" s="12" t="str">
        <f>IF(C4&gt;0,"Date of death (DD/MM/YYYY) *","")</f>
        <v/>
      </c>
      <c r="G4" s="12"/>
    </row>
    <row r="5" spans="1:7" s="12" customFormat="1" x14ac:dyDescent="0.25"/>
    <row r="6" spans="1:7" x14ac:dyDescent="0.25">
      <c r="A6" s="12"/>
      <c r="B6" s="12"/>
      <c r="C6" s="12"/>
      <c r="G6" s="12"/>
    </row>
    <row r="7" spans="1:7" x14ac:dyDescent="0.25">
      <c r="A7" s="12"/>
      <c r="B7" s="12" t="s">
        <v>52</v>
      </c>
      <c r="C7" s="12">
        <f>SUM(C3:C6)</f>
        <v>0</v>
      </c>
      <c r="G7" s="12"/>
    </row>
    <row r="8" spans="1:7" x14ac:dyDescent="0.25">
      <c r="A8" s="12"/>
      <c r="B8" s="12" t="s">
        <v>196</v>
      </c>
      <c r="C8" s="12" t="str">
        <f>D3 &amp; D4</f>
        <v/>
      </c>
      <c r="F8" t="s">
        <v>197</v>
      </c>
      <c r="G8" t="str">
        <f>IF(G3&gt;0, "Date sick pay at pension rate payable from (DD/MM/YYYY) *","")</f>
        <v/>
      </c>
    </row>
    <row r="9" spans="1:7" s="12" customFormat="1" x14ac:dyDescent="0.25"/>
    <row r="10" spans="1:7" x14ac:dyDescent="0.25">
      <c r="A10" s="12"/>
      <c r="B10" s="12"/>
      <c r="C10" s="12"/>
    </row>
    <row r="11" spans="1:7" x14ac:dyDescent="0.25">
      <c r="A11" s="12" t="s">
        <v>195</v>
      </c>
      <c r="B11" s="12" t="str">
        <f xml:space="preserve"> IF((C7+G3) &gt; 0,C8 &amp; G8, "")</f>
        <v/>
      </c>
      <c r="C11" s="12"/>
    </row>
    <row r="12" spans="1:7" x14ac:dyDescent="0.25">
      <c r="A12" t="s">
        <v>214</v>
      </c>
    </row>
    <row r="15" spans="1:7" x14ac:dyDescent="0.25">
      <c r="B15" s="264" t="s">
        <v>433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opLeftCell="B1" workbookViewId="0"/>
  </sheetViews>
  <sheetFormatPr defaultRowHeight="15" x14ac:dyDescent="0.25"/>
  <cols>
    <col min="1" max="1" width="23.5703125" customWidth="1"/>
    <col min="2" max="2" width="47.85546875" customWidth="1"/>
    <col min="3" max="3" width="25.140625" style="12" customWidth="1"/>
    <col min="4" max="4" width="24.7109375" style="12" customWidth="1"/>
    <col min="5" max="5" width="13.140625" customWidth="1"/>
    <col min="7" max="7" width="44.5703125" customWidth="1"/>
  </cols>
  <sheetData>
    <row r="1" spans="1:8" x14ac:dyDescent="0.25">
      <c r="A1" s="264" t="s">
        <v>321</v>
      </c>
    </row>
    <row r="2" spans="1:8" x14ac:dyDescent="0.25">
      <c r="A2" s="264" t="s">
        <v>437</v>
      </c>
    </row>
    <row r="3" spans="1:8" s="12" customFormat="1" x14ac:dyDescent="0.25">
      <c r="A3" s="264"/>
    </row>
    <row r="4" spans="1:8" s="6" customFormat="1" x14ac:dyDescent="0.25">
      <c r="B4" s="6" t="s">
        <v>322</v>
      </c>
      <c r="C4" s="5" t="str">
        <f>ServiceType!B3</f>
        <v/>
      </c>
      <c r="D4" s="5"/>
    </row>
    <row r="5" spans="1:8" s="6" customFormat="1" x14ac:dyDescent="0.25"/>
    <row r="6" spans="1:8" s="6" customFormat="1" x14ac:dyDescent="0.25">
      <c r="B6" s="6" t="s">
        <v>47</v>
      </c>
      <c r="C6" s="6" t="s">
        <v>474</v>
      </c>
      <c r="D6" s="6" t="s">
        <v>475</v>
      </c>
      <c r="H6" s="6" t="s">
        <v>324</v>
      </c>
    </row>
    <row r="8" spans="1:8" x14ac:dyDescent="0.25">
      <c r="B8" t="s">
        <v>339</v>
      </c>
      <c r="C8" s="4">
        <f>Request!C126</f>
        <v>0</v>
      </c>
      <c r="D8" s="4">
        <f>VLOOKUP(C8,F8:F11,1,FALSE)</f>
        <v>0</v>
      </c>
      <c r="E8" t="s">
        <v>476</v>
      </c>
      <c r="F8" t="str">
        <f>AddInfoList1!A2</f>
        <v/>
      </c>
      <c r="G8" t="s">
        <v>325</v>
      </c>
      <c r="H8">
        <f>IFERROR(D8,"Delete")</f>
        <v>0</v>
      </c>
    </row>
    <row r="9" spans="1:8" x14ac:dyDescent="0.25">
      <c r="D9" s="4"/>
      <c r="F9" s="12" t="str">
        <f>AddInfoList1!A3</f>
        <v/>
      </c>
      <c r="H9" s="12"/>
    </row>
    <row r="10" spans="1:8" x14ac:dyDescent="0.25">
      <c r="D10" s="4"/>
      <c r="F10" s="12" t="str">
        <f>AddInfoList1!A4</f>
        <v/>
      </c>
      <c r="H10" s="12"/>
    </row>
    <row r="11" spans="1:8" x14ac:dyDescent="0.25">
      <c r="D11" s="4"/>
      <c r="F11">
        <v>0</v>
      </c>
      <c r="H11" s="12"/>
    </row>
    <row r="12" spans="1:8" x14ac:dyDescent="0.25">
      <c r="D12" s="4"/>
      <c r="H12" s="12"/>
    </row>
    <row r="13" spans="1:8" x14ac:dyDescent="0.25">
      <c r="B13" t="s">
        <v>340</v>
      </c>
      <c r="C13" s="4">
        <f>Request!C134</f>
        <v>0</v>
      </c>
      <c r="D13" s="4">
        <f>VLOOKUP(C13,F13:F15,1,FALSE)</f>
        <v>0</v>
      </c>
      <c r="E13" t="s">
        <v>476</v>
      </c>
      <c r="F13" t="str">
        <f>DISYesNo!A1</f>
        <v/>
      </c>
      <c r="G13" t="s">
        <v>325</v>
      </c>
      <c r="H13" s="12">
        <f>IFERROR(D13,"Delete")</f>
        <v>0</v>
      </c>
    </row>
    <row r="14" spans="1:8" x14ac:dyDescent="0.25">
      <c r="D14" s="4"/>
      <c r="F14" s="12" t="str">
        <f>DISYesNo!A2</f>
        <v/>
      </c>
    </row>
    <row r="15" spans="1:8" x14ac:dyDescent="0.25">
      <c r="D15" s="4"/>
      <c r="F15" s="12">
        <f>DISYesNo!A3</f>
        <v>0</v>
      </c>
    </row>
    <row r="16" spans="1:8" x14ac:dyDescent="0.25">
      <c r="D16" s="4"/>
    </row>
    <row r="17" spans="2:8" x14ac:dyDescent="0.25">
      <c r="D17" s="4"/>
    </row>
    <row r="18" spans="2:8" x14ac:dyDescent="0.25">
      <c r="D18" s="4"/>
    </row>
    <row r="19" spans="2:8" x14ac:dyDescent="0.25">
      <c r="B19" t="s">
        <v>341</v>
      </c>
      <c r="C19" s="4">
        <f>Request!C80</f>
        <v>0</v>
      </c>
      <c r="D19" s="4">
        <f>VLOOKUP(C19,F19:F26,1,FALSE)</f>
        <v>0</v>
      </c>
      <c r="E19" t="s">
        <v>476</v>
      </c>
      <c r="F19" t="str">
        <f>MaritalStatus!A1</f>
        <v/>
      </c>
      <c r="G19" t="s">
        <v>325</v>
      </c>
      <c r="H19">
        <f>IFERROR(D19,"Delete")</f>
        <v>0</v>
      </c>
    </row>
    <row r="20" spans="2:8" x14ac:dyDescent="0.25">
      <c r="F20" s="12" t="str">
        <f>MaritalStatus!A2</f>
        <v/>
      </c>
    </row>
    <row r="21" spans="2:8" x14ac:dyDescent="0.25">
      <c r="F21" s="12" t="str">
        <f>MaritalStatus!A3</f>
        <v/>
      </c>
    </row>
    <row r="22" spans="2:8" x14ac:dyDescent="0.25">
      <c r="F22" s="12" t="str">
        <f>MaritalStatus!A4</f>
        <v/>
      </c>
    </row>
    <row r="23" spans="2:8" x14ac:dyDescent="0.25">
      <c r="F23" s="12" t="str">
        <f>MaritalStatus!A5</f>
        <v/>
      </c>
    </row>
    <row r="24" spans="2:8" x14ac:dyDescent="0.25">
      <c r="F24" s="12" t="str">
        <f>MaritalStatus!A6</f>
        <v/>
      </c>
    </row>
    <row r="25" spans="2:8" x14ac:dyDescent="0.25">
      <c r="F25" s="12" t="str">
        <f>MaritalStatus!A7</f>
        <v/>
      </c>
    </row>
    <row r="26" spans="2:8" x14ac:dyDescent="0.25">
      <c r="F26">
        <v>0</v>
      </c>
    </row>
    <row r="30" spans="2:8" x14ac:dyDescent="0.25">
      <c r="B30" t="s">
        <v>327</v>
      </c>
      <c r="C30" s="9">
        <f>Request!C130</f>
        <v>0</v>
      </c>
      <c r="D30" t="s">
        <v>330</v>
      </c>
      <c r="E30">
        <f>LEN(TRIM(Request!B130))</f>
        <v>0</v>
      </c>
      <c r="F30">
        <f>IF(C30=0,1,0)</f>
        <v>1</v>
      </c>
      <c r="G30">
        <f>SUM(E30:F30)</f>
        <v>1</v>
      </c>
      <c r="H30" t="str">
        <f>IF(G30=0,"Delete","")</f>
        <v/>
      </c>
    </row>
    <row r="31" spans="2:8" x14ac:dyDescent="0.25">
      <c r="C31" s="9"/>
      <c r="E31" s="12"/>
      <c r="F31" s="12"/>
      <c r="G31" s="12"/>
      <c r="H31" s="12"/>
    </row>
    <row r="32" spans="2:8" x14ac:dyDescent="0.25">
      <c r="B32" t="s">
        <v>329</v>
      </c>
      <c r="C32" s="9">
        <f>Request!C138</f>
        <v>0</v>
      </c>
      <c r="D32" s="12" t="s">
        <v>328</v>
      </c>
      <c r="E32" s="12">
        <f>LEN(TRIM(Request!B138))</f>
        <v>0</v>
      </c>
      <c r="F32" s="12">
        <f t="shared" ref="F32:F36" si="0">IF(C32=0,1,0)</f>
        <v>1</v>
      </c>
      <c r="G32" s="12">
        <f t="shared" ref="G32:G36" si="1">SUM(E32:F32)</f>
        <v>1</v>
      </c>
      <c r="H32" s="12" t="str">
        <f t="shared" ref="H32:H55" si="2">IF(G32=0,"Delete","")</f>
        <v/>
      </c>
    </row>
    <row r="33" spans="1:8" x14ac:dyDescent="0.25">
      <c r="C33" s="9"/>
      <c r="E33" s="12"/>
      <c r="F33" s="12"/>
      <c r="G33" s="12"/>
      <c r="H33" s="12"/>
    </row>
    <row r="34" spans="1:8" x14ac:dyDescent="0.25">
      <c r="A34" t="s">
        <v>331</v>
      </c>
      <c r="B34" t="s">
        <v>323</v>
      </c>
      <c r="C34" s="9">
        <f>Request!C80</f>
        <v>0</v>
      </c>
      <c r="D34" s="12" t="s">
        <v>328</v>
      </c>
      <c r="E34" s="12">
        <f>LEN(TRIM(Request!B80))</f>
        <v>0</v>
      </c>
      <c r="F34" s="12">
        <f t="shared" si="0"/>
        <v>1</v>
      </c>
      <c r="G34" s="12">
        <f t="shared" si="1"/>
        <v>1</v>
      </c>
      <c r="H34" s="12" t="str">
        <f t="shared" si="2"/>
        <v/>
      </c>
    </row>
    <row r="35" spans="1:8" x14ac:dyDescent="0.25">
      <c r="C35" s="9"/>
      <c r="E35" s="12"/>
      <c r="F35" s="12"/>
      <c r="G35" s="12"/>
      <c r="H35" s="12"/>
    </row>
    <row r="36" spans="1:8" x14ac:dyDescent="0.25">
      <c r="B36" t="s">
        <v>182</v>
      </c>
      <c r="C36" s="9">
        <f>Request!C84</f>
        <v>0</v>
      </c>
      <c r="D36" s="12" t="s">
        <v>328</v>
      </c>
      <c r="E36" s="12">
        <f>LEN(TRIM(Request!B84))</f>
        <v>0</v>
      </c>
      <c r="F36" s="12">
        <f t="shared" si="0"/>
        <v>1</v>
      </c>
      <c r="G36" s="12">
        <f t="shared" si="1"/>
        <v>1</v>
      </c>
      <c r="H36" s="12" t="str">
        <f t="shared" si="2"/>
        <v/>
      </c>
    </row>
    <row r="37" spans="1:8" x14ac:dyDescent="0.25">
      <c r="F37" s="12"/>
      <c r="G37" s="12"/>
      <c r="H37" s="12"/>
    </row>
    <row r="38" spans="1:8" x14ac:dyDescent="0.25">
      <c r="B38" t="s">
        <v>332</v>
      </c>
      <c r="C38" s="9">
        <f>Request!C142</f>
        <v>0</v>
      </c>
      <c r="D38" s="12" t="s">
        <v>328</v>
      </c>
      <c r="E38">
        <f>LEN(TRIM(Request!B142))</f>
        <v>0</v>
      </c>
      <c r="F38" s="12">
        <f t="shared" ref="F38:F49" si="3">IF(C38=0,1,0)</f>
        <v>1</v>
      </c>
      <c r="G38" s="12">
        <f t="shared" ref="G38:G49" si="4">SUM(E38:F38)</f>
        <v>1</v>
      </c>
      <c r="H38" s="12" t="str">
        <f t="shared" si="2"/>
        <v/>
      </c>
    </row>
    <row r="39" spans="1:8" ht="13.5" customHeight="1" x14ac:dyDescent="0.25">
      <c r="B39" t="s">
        <v>333</v>
      </c>
      <c r="C39" s="9">
        <f>Request!C146</f>
        <v>0</v>
      </c>
      <c r="D39" s="12" t="s">
        <v>328</v>
      </c>
      <c r="E39" s="12">
        <f>LEN(TRIM(Request!B146))</f>
        <v>0</v>
      </c>
      <c r="F39" s="12">
        <f t="shared" si="3"/>
        <v>1</v>
      </c>
      <c r="G39" s="12">
        <f t="shared" si="4"/>
        <v>1</v>
      </c>
      <c r="H39" s="12" t="str">
        <f t="shared" si="2"/>
        <v/>
      </c>
    </row>
    <row r="40" spans="1:8" x14ac:dyDescent="0.25">
      <c r="B40" t="s">
        <v>334</v>
      </c>
      <c r="C40" s="9">
        <f>Request!C150</f>
        <v>0</v>
      </c>
      <c r="D40" s="12" t="s">
        <v>328</v>
      </c>
      <c r="E40" s="12">
        <f>LEN(TRIM(Request!B150))</f>
        <v>0</v>
      </c>
      <c r="F40" s="12">
        <f t="shared" si="3"/>
        <v>1</v>
      </c>
      <c r="G40" s="12">
        <f t="shared" si="4"/>
        <v>1</v>
      </c>
      <c r="H40" s="12" t="str">
        <f t="shared" si="2"/>
        <v/>
      </c>
    </row>
    <row r="41" spans="1:8" x14ac:dyDescent="0.25">
      <c r="B41" t="s">
        <v>335</v>
      </c>
      <c r="C41" s="9">
        <f>Request!C154</f>
        <v>0</v>
      </c>
      <c r="D41" s="12" t="s">
        <v>328</v>
      </c>
      <c r="E41" s="12">
        <f>LEN(TRIM(Request!B154))</f>
        <v>0</v>
      </c>
      <c r="F41" s="12">
        <f t="shared" si="3"/>
        <v>1</v>
      </c>
      <c r="G41" s="12">
        <f t="shared" si="4"/>
        <v>1</v>
      </c>
      <c r="H41" s="12" t="str">
        <f t="shared" si="2"/>
        <v/>
      </c>
    </row>
    <row r="42" spans="1:8" x14ac:dyDescent="0.25">
      <c r="B42" t="s">
        <v>336</v>
      </c>
      <c r="C42" s="9">
        <f>Request!C158</f>
        <v>0</v>
      </c>
      <c r="D42" s="12" t="s">
        <v>328</v>
      </c>
      <c r="E42" s="12">
        <f>LEN(TRIM(Request!B158))</f>
        <v>0</v>
      </c>
      <c r="F42" s="12">
        <f t="shared" si="3"/>
        <v>1</v>
      </c>
      <c r="G42" s="12">
        <f t="shared" si="4"/>
        <v>1</v>
      </c>
      <c r="H42" s="12" t="str">
        <f t="shared" si="2"/>
        <v/>
      </c>
    </row>
    <row r="43" spans="1:8" x14ac:dyDescent="0.25">
      <c r="B43" t="s">
        <v>315</v>
      </c>
      <c r="C43" s="9">
        <f>Request!C162</f>
        <v>0</v>
      </c>
      <c r="D43" s="12" t="s">
        <v>328</v>
      </c>
      <c r="E43" s="12">
        <f>LEN(TRIM(Request!B162))</f>
        <v>0</v>
      </c>
      <c r="F43" s="12">
        <f t="shared" si="3"/>
        <v>1</v>
      </c>
      <c r="G43" s="12">
        <f t="shared" si="4"/>
        <v>1</v>
      </c>
      <c r="H43" s="12" t="str">
        <f t="shared" si="2"/>
        <v/>
      </c>
    </row>
    <row r="44" spans="1:8" x14ac:dyDescent="0.25">
      <c r="B44" t="s">
        <v>316</v>
      </c>
      <c r="C44" s="9">
        <f>Request!C166</f>
        <v>0</v>
      </c>
      <c r="D44" s="12" t="s">
        <v>328</v>
      </c>
      <c r="E44" s="12">
        <f>LEN(TRIM(Request!B166))</f>
        <v>0</v>
      </c>
      <c r="F44" s="12">
        <f t="shared" si="3"/>
        <v>1</v>
      </c>
      <c r="G44" s="12">
        <f t="shared" si="4"/>
        <v>1</v>
      </c>
      <c r="H44" s="12" t="str">
        <f t="shared" si="2"/>
        <v/>
      </c>
    </row>
    <row r="45" spans="1:8" x14ac:dyDescent="0.25">
      <c r="B45" t="s">
        <v>337</v>
      </c>
      <c r="C45" s="9"/>
      <c r="E45" s="12"/>
      <c r="F45" s="12"/>
      <c r="G45" s="12"/>
      <c r="H45" s="12"/>
    </row>
    <row r="46" spans="1:8" x14ac:dyDescent="0.25">
      <c r="B46" t="s">
        <v>332</v>
      </c>
      <c r="C46" s="9">
        <f>Request!C174</f>
        <v>0</v>
      </c>
      <c r="D46" s="12" t="s">
        <v>328</v>
      </c>
      <c r="E46" s="12">
        <f>LEN(TRIM(Request!B174))</f>
        <v>0</v>
      </c>
      <c r="F46" s="12">
        <f t="shared" si="3"/>
        <v>1</v>
      </c>
      <c r="G46" s="12">
        <f t="shared" si="4"/>
        <v>1</v>
      </c>
      <c r="H46" s="12" t="str">
        <f t="shared" si="2"/>
        <v/>
      </c>
    </row>
    <row r="47" spans="1:8" x14ac:dyDescent="0.25">
      <c r="B47" t="s">
        <v>333</v>
      </c>
      <c r="C47" s="9">
        <f>Request!C178</f>
        <v>0</v>
      </c>
      <c r="D47" s="12" t="s">
        <v>328</v>
      </c>
      <c r="E47" s="12">
        <f>LEN(TRIM(Request!B178))</f>
        <v>0</v>
      </c>
      <c r="F47" s="12">
        <f t="shared" si="3"/>
        <v>1</v>
      </c>
      <c r="G47" s="12">
        <f t="shared" si="4"/>
        <v>1</v>
      </c>
      <c r="H47" s="12" t="str">
        <f t="shared" si="2"/>
        <v/>
      </c>
    </row>
    <row r="48" spans="1:8" x14ac:dyDescent="0.25">
      <c r="B48" t="s">
        <v>315</v>
      </c>
      <c r="C48" s="9">
        <f>Request!C182</f>
        <v>0</v>
      </c>
      <c r="D48" s="12" t="s">
        <v>328</v>
      </c>
      <c r="E48" s="12">
        <f>LEN(TRIM(Request!B182))</f>
        <v>0</v>
      </c>
      <c r="F48" s="12">
        <f t="shared" si="3"/>
        <v>1</v>
      </c>
      <c r="G48" s="12">
        <f t="shared" si="4"/>
        <v>1</v>
      </c>
      <c r="H48" s="12" t="str">
        <f t="shared" si="2"/>
        <v/>
      </c>
    </row>
    <row r="49" spans="2:8" x14ac:dyDescent="0.25">
      <c r="B49" t="s">
        <v>338</v>
      </c>
      <c r="C49" s="9">
        <f>Request!C186</f>
        <v>0</v>
      </c>
      <c r="D49" s="12" t="s">
        <v>328</v>
      </c>
      <c r="E49" s="12">
        <f>LEN(TRIM(Request!B186))</f>
        <v>0</v>
      </c>
      <c r="F49" s="12">
        <f t="shared" si="3"/>
        <v>1</v>
      </c>
      <c r="G49" s="12">
        <f t="shared" si="4"/>
        <v>1</v>
      </c>
      <c r="H49" s="12" t="str">
        <f t="shared" si="2"/>
        <v/>
      </c>
    </row>
    <row r="50" spans="2:8" x14ac:dyDescent="0.25">
      <c r="B50" s="12" t="s">
        <v>352</v>
      </c>
      <c r="C50" s="9">
        <f>Request!C118</f>
        <v>0</v>
      </c>
      <c r="D50" s="12" t="s">
        <v>328</v>
      </c>
      <c r="E50" s="12">
        <f>LEN(TRIM(Request!B118))</f>
        <v>0</v>
      </c>
      <c r="F50" s="12">
        <f t="shared" ref="F50" si="5">IF(C50=0,1,0)</f>
        <v>1</v>
      </c>
      <c r="G50" s="12">
        <f t="shared" ref="G50" si="6">SUM(E50:F50)</f>
        <v>1</v>
      </c>
      <c r="H50" s="12" t="str">
        <f t="shared" si="2"/>
        <v/>
      </c>
    </row>
    <row r="51" spans="2:8" x14ac:dyDescent="0.25">
      <c r="B51" t="s">
        <v>355</v>
      </c>
      <c r="C51" s="9">
        <f>Request!C27</f>
        <v>0</v>
      </c>
      <c r="D51" s="12" t="s">
        <v>328</v>
      </c>
      <c r="E51" s="12">
        <f>LEN(TRIM(Request!B27))</f>
        <v>43</v>
      </c>
      <c r="F51" s="12">
        <f t="shared" ref="F51:F55" si="7">IF(C51=0,1,0)</f>
        <v>1</v>
      </c>
      <c r="G51" s="12">
        <f t="shared" ref="G51:G55" si="8">SUM(E51:F51)</f>
        <v>44</v>
      </c>
      <c r="H51" s="12" t="str">
        <f t="shared" si="2"/>
        <v/>
      </c>
    </row>
    <row r="52" spans="2:8" x14ac:dyDescent="0.25">
      <c r="B52" t="s">
        <v>410</v>
      </c>
      <c r="C52" s="9">
        <f>Request!C67</f>
        <v>0</v>
      </c>
      <c r="D52" s="12" t="s">
        <v>328</v>
      </c>
      <c r="E52" s="12">
        <f>LEN(TRIM(Request!B67))</f>
        <v>27</v>
      </c>
      <c r="F52" s="12">
        <f t="shared" si="7"/>
        <v>1</v>
      </c>
      <c r="G52" s="12">
        <f t="shared" si="8"/>
        <v>28</v>
      </c>
      <c r="H52" s="12" t="str">
        <f t="shared" si="2"/>
        <v/>
      </c>
    </row>
    <row r="53" spans="2:8" x14ac:dyDescent="0.25">
      <c r="B53" s="12" t="s">
        <v>411</v>
      </c>
      <c r="C53" s="9">
        <f>Request!C68</f>
        <v>0</v>
      </c>
      <c r="D53" s="12" t="s">
        <v>328</v>
      </c>
      <c r="E53" s="12">
        <f>LEN(TRIM(Request!B67))</f>
        <v>27</v>
      </c>
      <c r="F53" s="12">
        <f t="shared" si="7"/>
        <v>1</v>
      </c>
      <c r="G53" s="12">
        <f t="shared" si="8"/>
        <v>28</v>
      </c>
      <c r="H53" s="12" t="str">
        <f t="shared" si="2"/>
        <v/>
      </c>
    </row>
    <row r="54" spans="2:8" x14ac:dyDescent="0.25">
      <c r="B54" t="s">
        <v>408</v>
      </c>
      <c r="C54" s="9">
        <f>Request!C72</f>
        <v>0</v>
      </c>
      <c r="D54" s="12" t="s">
        <v>328</v>
      </c>
      <c r="E54" s="12">
        <f>LEN(TRIM(Request!B72))</f>
        <v>16</v>
      </c>
      <c r="F54" s="12">
        <f t="shared" si="7"/>
        <v>1</v>
      </c>
      <c r="G54" s="12">
        <f t="shared" si="8"/>
        <v>17</v>
      </c>
      <c r="H54" s="12" t="str">
        <f t="shared" si="2"/>
        <v/>
      </c>
    </row>
    <row r="55" spans="2:8" x14ac:dyDescent="0.25">
      <c r="B55" t="s">
        <v>409</v>
      </c>
      <c r="C55" s="9">
        <f>Request!C76</f>
        <v>0</v>
      </c>
      <c r="D55" s="12" t="s">
        <v>328</v>
      </c>
      <c r="E55" s="12">
        <f>LEN(TRIM(Request!B76))</f>
        <v>13</v>
      </c>
      <c r="F55" s="12">
        <f t="shared" si="7"/>
        <v>1</v>
      </c>
      <c r="G55" s="12">
        <f t="shared" si="8"/>
        <v>14</v>
      </c>
      <c r="H55" s="12" t="str">
        <f t="shared" si="2"/>
        <v/>
      </c>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AG98"/>
  <sheetViews>
    <sheetView workbookViewId="0"/>
  </sheetViews>
  <sheetFormatPr defaultRowHeight="15" x14ac:dyDescent="0.25"/>
  <cols>
    <col min="2" max="2" width="14" customWidth="1"/>
    <col min="3" max="3" width="16.140625" customWidth="1"/>
    <col min="4" max="4" width="16.42578125" customWidth="1"/>
    <col min="8" max="8" width="29.28515625" bestFit="1" customWidth="1"/>
    <col min="13" max="13" width="4.42578125" customWidth="1"/>
    <col min="14" max="14" width="5.5703125" customWidth="1"/>
    <col min="18" max="18" width="25.28515625" customWidth="1"/>
    <col min="25" max="25" width="24.5703125" customWidth="1"/>
    <col min="28" max="28" width="34.7109375" customWidth="1"/>
    <col min="31" max="31" width="25.28515625" customWidth="1"/>
  </cols>
  <sheetData>
    <row r="2" spans="2:33" x14ac:dyDescent="0.25">
      <c r="C2" t="s">
        <v>47</v>
      </c>
      <c r="D2" t="s">
        <v>10</v>
      </c>
      <c r="H2" t="s">
        <v>60</v>
      </c>
      <c r="O2" t="s">
        <v>29</v>
      </c>
      <c r="S2" t="s">
        <v>182</v>
      </c>
      <c r="W2" t="s">
        <v>208</v>
      </c>
      <c r="Z2" t="s">
        <v>209</v>
      </c>
      <c r="AC2" t="s">
        <v>210</v>
      </c>
      <c r="AF2" t="s">
        <v>211</v>
      </c>
    </row>
    <row r="3" spans="2:33" x14ac:dyDescent="0.25">
      <c r="B3" t="s">
        <v>48</v>
      </c>
    </row>
    <row r="4" spans="2:33" x14ac:dyDescent="0.25">
      <c r="B4" t="s">
        <v>17</v>
      </c>
      <c r="D4">
        <f>IF(TRIM(Request!C55) ="",1,0)</f>
        <v>1</v>
      </c>
      <c r="H4">
        <f>IF(TRIM(Request!C51) ="",1,0)</f>
        <v>1</v>
      </c>
      <c r="O4">
        <f>IF(TRIM(Request!C27) ="",1,0)</f>
        <v>1</v>
      </c>
      <c r="S4">
        <f>IF(TRIM(Request!C84) ="",1,0)</f>
        <v>1</v>
      </c>
      <c r="W4" t="e">
        <f>IF(TRIM(Request!#REF!) ="",1,0)</f>
        <v>#REF!</v>
      </c>
      <c r="Z4" t="e">
        <f>IF(TRIM(Request!#REF!) ="",1,0)</f>
        <v>#REF!</v>
      </c>
      <c r="AC4">
        <f>IF(TRIM(Request!C130) ="",1,0)</f>
        <v>1</v>
      </c>
      <c r="AF4">
        <f>IF(TRIM(Request!C138) ="",1,0)</f>
        <v>1</v>
      </c>
    </row>
    <row r="5" spans="2:33" x14ac:dyDescent="0.25">
      <c r="B5" t="s">
        <v>49</v>
      </c>
      <c r="D5">
        <f>IF(LEN(TRIM(Request!C55)) = 9,0,1)</f>
        <v>1</v>
      </c>
      <c r="H5">
        <f>IF(LEN(TRIM(Request!C51)) = 5,0,1)</f>
        <v>1</v>
      </c>
      <c r="O5">
        <f>IF(LEN(TRIM(Request!C27)) = 5,0,1)</f>
        <v>1</v>
      </c>
      <c r="S5">
        <f>IF(LEN(TRIM(Request!C84)) = 5,0,1)</f>
        <v>1</v>
      </c>
      <c r="W5" t="e">
        <f>IF(LEN(TRIM(Request!#REF!)) = 5,0,1)</f>
        <v>#REF!</v>
      </c>
      <c r="Z5" t="e">
        <f>IF(LEN(TRIM(Request!#REF!)) = 5,0,1)</f>
        <v>#REF!</v>
      </c>
      <c r="AC5">
        <f>IF(LEN(TRIM(Request!C130)) = 5,0,1)</f>
        <v>1</v>
      </c>
      <c r="AF5">
        <f>IF(LEN(TRIM(Request!C138)) = 5,0,1)</f>
        <v>1</v>
      </c>
    </row>
    <row r="6" spans="2:33" x14ac:dyDescent="0.25">
      <c r="B6" t="s">
        <v>50</v>
      </c>
      <c r="D6">
        <f>IF(LEN(Request!C55)&lt;&gt;9,1,FormatValidation!E6)</f>
        <v>1</v>
      </c>
      <c r="E6">
        <f>IF(B29="PPPPPPPPP",0,1)</f>
        <v>1</v>
      </c>
    </row>
    <row r="8" spans="2:33" x14ac:dyDescent="0.25">
      <c r="B8" t="s">
        <v>52</v>
      </c>
      <c r="D8">
        <f>SUM(D4:D6)</f>
        <v>3</v>
      </c>
      <c r="H8">
        <f>SUM(H4:H7)</f>
        <v>2</v>
      </c>
      <c r="O8">
        <f>SUM(O4:O7)</f>
        <v>2</v>
      </c>
      <c r="S8">
        <f>SUM(S4:S7)</f>
        <v>2</v>
      </c>
      <c r="W8" t="e">
        <f>SUM(W4:W7)</f>
        <v>#REF!</v>
      </c>
      <c r="Z8" t="e">
        <f>SUM(Z4:Z7)</f>
        <v>#REF!</v>
      </c>
      <c r="AC8">
        <f>SUM(AC4:AC7)</f>
        <v>2</v>
      </c>
      <c r="AF8">
        <f>SUM(AF4:AF7)</f>
        <v>2</v>
      </c>
    </row>
    <row r="11" spans="2:33" x14ac:dyDescent="0.25">
      <c r="B11">
        <v>3</v>
      </c>
      <c r="D11" t="s">
        <v>62</v>
      </c>
      <c r="H11">
        <v>2</v>
      </c>
      <c r="J11" t="s">
        <v>62</v>
      </c>
      <c r="O11">
        <v>2</v>
      </c>
      <c r="P11" t="s">
        <v>62</v>
      </c>
      <c r="S11">
        <v>2</v>
      </c>
      <c r="T11" t="s">
        <v>62</v>
      </c>
      <c r="W11">
        <v>2</v>
      </c>
      <c r="X11" t="s">
        <v>62</v>
      </c>
      <c r="Z11">
        <v>2</v>
      </c>
      <c r="AA11" t="s">
        <v>62</v>
      </c>
      <c r="AC11">
        <v>2</v>
      </c>
      <c r="AD11" t="s">
        <v>62</v>
      </c>
      <c r="AF11" s="12">
        <v>2</v>
      </c>
      <c r="AG11" s="12" t="s">
        <v>62</v>
      </c>
    </row>
    <row r="12" spans="2:33" x14ac:dyDescent="0.25">
      <c r="B12">
        <v>2</v>
      </c>
      <c r="D12" t="s">
        <v>53</v>
      </c>
      <c r="H12">
        <v>1</v>
      </c>
      <c r="J12" t="s">
        <v>61</v>
      </c>
      <c r="O12">
        <v>1</v>
      </c>
      <c r="P12" t="s">
        <v>202</v>
      </c>
      <c r="S12">
        <v>1</v>
      </c>
      <c r="T12" t="s">
        <v>202</v>
      </c>
      <c r="W12">
        <v>1</v>
      </c>
      <c r="X12" t="s">
        <v>202</v>
      </c>
      <c r="Z12">
        <v>1</v>
      </c>
      <c r="AA12" t="s">
        <v>202</v>
      </c>
      <c r="AC12">
        <v>1</v>
      </c>
      <c r="AD12" t="s">
        <v>202</v>
      </c>
      <c r="AF12" s="12">
        <v>1</v>
      </c>
      <c r="AG12" s="12" t="s">
        <v>202</v>
      </c>
    </row>
    <row r="13" spans="2:33" x14ac:dyDescent="0.25">
      <c r="B13">
        <v>1</v>
      </c>
      <c r="D13" t="s">
        <v>343</v>
      </c>
      <c r="H13">
        <v>0</v>
      </c>
      <c r="J13" t="s">
        <v>62</v>
      </c>
      <c r="O13">
        <v>0</v>
      </c>
      <c r="P13" t="s">
        <v>62</v>
      </c>
      <c r="S13">
        <v>0</v>
      </c>
      <c r="T13" t="s">
        <v>62</v>
      </c>
      <c r="W13">
        <v>0</v>
      </c>
      <c r="X13" t="s">
        <v>62</v>
      </c>
      <c r="Z13">
        <v>0</v>
      </c>
      <c r="AA13" t="s">
        <v>62</v>
      </c>
      <c r="AC13">
        <v>0</v>
      </c>
      <c r="AD13" t="s">
        <v>62</v>
      </c>
      <c r="AF13" s="12">
        <v>0</v>
      </c>
      <c r="AG13" s="12" t="s">
        <v>62</v>
      </c>
    </row>
    <row r="14" spans="2:33" x14ac:dyDescent="0.25">
      <c r="B14">
        <v>0</v>
      </c>
      <c r="D14" s="10" t="s">
        <v>62</v>
      </c>
    </row>
    <row r="16" spans="2:33" x14ac:dyDescent="0.25">
      <c r="B16" t="s">
        <v>51</v>
      </c>
      <c r="D16" s="4" t="str">
        <f>VLOOKUP(D8,B11:D14,3,FALSE)</f>
        <v xml:space="preserve"> </v>
      </c>
      <c r="H16" s="4" t="str">
        <f>VLOOKUP(H8,H11:J13,3,FALSE)</f>
        <v xml:space="preserve"> </v>
      </c>
      <c r="O16" t="str">
        <f>VLOOKUP(O8,O11:P13,2,FALSE)</f>
        <v xml:space="preserve"> </v>
      </c>
      <c r="S16" t="str">
        <f>VLOOKUP(S8,S11:T13,2,FALSE)</f>
        <v xml:space="preserve"> </v>
      </c>
      <c r="W16" t="e">
        <f>VLOOKUP(W8,W11:X13,2,FALSE)</f>
        <v>#REF!</v>
      </c>
      <c r="Z16" t="e">
        <f>VLOOKUP(Z8,Z11:AA13,2,FALSE)</f>
        <v>#REF!</v>
      </c>
      <c r="AC16" t="str">
        <f>VLOOKUP(AC8,AC11:AD13,2,FALSE)</f>
        <v xml:space="preserve"> </v>
      </c>
      <c r="AF16" t="str">
        <f>VLOOKUP(AF8,AF11:AG13,2,FALSE)</f>
        <v xml:space="preserve"> </v>
      </c>
    </row>
    <row r="17" spans="2:8" x14ac:dyDescent="0.25">
      <c r="H17" s="4"/>
    </row>
    <row r="18" spans="2:8" x14ac:dyDescent="0.25">
      <c r="D18" t="s">
        <v>100</v>
      </c>
      <c r="E18" t="s">
        <v>101</v>
      </c>
      <c r="H18" t="s">
        <v>102</v>
      </c>
    </row>
    <row r="19" spans="2:8" x14ac:dyDescent="0.25">
      <c r="B19" t="s">
        <v>91</v>
      </c>
      <c r="C19" t="str">
        <f>LEFT(Request!C55,1)</f>
        <v/>
      </c>
      <c r="D19" t="b">
        <f>ISTEXT(C19)</f>
        <v>1</v>
      </c>
      <c r="E19" s="4" t="e">
        <f t="shared" ref="E19:E20" si="0">IF(VALUE(C19)&gt;0,"&gt;0","Fail")</f>
        <v>#VALUE!</v>
      </c>
      <c r="F19" s="4" t="e">
        <f>IF(VALUE(C19) &lt; 10,"&lt;10","Fail")</f>
        <v>#VALUE!</v>
      </c>
      <c r="G19" t="e">
        <f t="shared" ref="G19:G20" si="1">E19 &amp; F19</f>
        <v>#VALUE!</v>
      </c>
      <c r="H19" t="str">
        <f>VLOOKUP(C19,B32:C98,2,FALSE)</f>
        <v>FAIL</v>
      </c>
    </row>
    <row r="20" spans="2:8" x14ac:dyDescent="0.25">
      <c r="B20" t="s">
        <v>92</v>
      </c>
      <c r="C20" t="str">
        <f>MID(Request!C55,2,1)</f>
        <v/>
      </c>
      <c r="D20" t="b">
        <f t="shared" ref="D20:D27" si="2">ISTEXT(C20)</f>
        <v>1</v>
      </c>
      <c r="E20" s="4" t="e">
        <f t="shared" si="0"/>
        <v>#VALUE!</v>
      </c>
      <c r="F20" s="4" t="e">
        <f>IF(VALUE(C20) &lt; 10,"&lt;10","Fail")</f>
        <v>#VALUE!</v>
      </c>
      <c r="G20" t="e">
        <f t="shared" si="1"/>
        <v>#VALUE!</v>
      </c>
      <c r="H20" t="str">
        <f>VLOOKUP(C20,B32:C98,2,FALSE)</f>
        <v>FAIL</v>
      </c>
    </row>
    <row r="21" spans="2:8" x14ac:dyDescent="0.25">
      <c r="B21" t="s">
        <v>93</v>
      </c>
      <c r="C21" s="9" t="str">
        <f>MID(Request!C55,3,1)</f>
        <v/>
      </c>
      <c r="D21" t="b">
        <f t="shared" si="2"/>
        <v>1</v>
      </c>
      <c r="E21" t="e">
        <f>IF(VALUE(C21)&gt;0,"&gt;0","Fail")</f>
        <v>#VALUE!</v>
      </c>
      <c r="F21" t="e">
        <f>IF(VALUE(C21) &lt; 10,"&lt;10","Fail")</f>
        <v>#VALUE!</v>
      </c>
      <c r="G21" t="e">
        <f>E21 &amp; F21</f>
        <v>#VALUE!</v>
      </c>
      <c r="H21" t="str">
        <f>VLOOKUP(C21,B32:D98,3,FALSE)</f>
        <v>FAIL</v>
      </c>
    </row>
    <row r="22" spans="2:8" x14ac:dyDescent="0.25">
      <c r="B22" t="s">
        <v>94</v>
      </c>
      <c r="C22" s="9" t="str">
        <f>MID(Request!C55,4,1)</f>
        <v/>
      </c>
      <c r="D22" t="b">
        <f t="shared" si="2"/>
        <v>1</v>
      </c>
      <c r="E22" t="e">
        <f t="shared" ref="E22:E25" si="3">IF(VALUE(C22)&gt;0,"&gt;0","Fail")</f>
        <v>#VALUE!</v>
      </c>
      <c r="F22" t="e">
        <f>IF(VALUE(C22) &lt; 10,"&lt;10","Fail")</f>
        <v>#VALUE!</v>
      </c>
      <c r="G22" t="e">
        <f t="shared" ref="G22:G27" si="4">E22 &amp; F22</f>
        <v>#VALUE!</v>
      </c>
      <c r="H22" t="str">
        <f>VLOOKUP(C22,B32:D98,3,FALSE)</f>
        <v>FAIL</v>
      </c>
    </row>
    <row r="23" spans="2:8" x14ac:dyDescent="0.25">
      <c r="B23" t="s">
        <v>95</v>
      </c>
      <c r="C23" s="9" t="str">
        <f>MID(Request!C55,5,1)</f>
        <v/>
      </c>
      <c r="D23" t="b">
        <f t="shared" si="2"/>
        <v>1</v>
      </c>
      <c r="E23" t="e">
        <f t="shared" si="3"/>
        <v>#VALUE!</v>
      </c>
      <c r="F23" t="e">
        <f t="shared" ref="F23:F27" si="5">IF(VALUE(C23) &lt; 10,"&lt;10","Fail")</f>
        <v>#VALUE!</v>
      </c>
      <c r="G23" t="e">
        <f t="shared" si="4"/>
        <v>#VALUE!</v>
      </c>
      <c r="H23" t="str">
        <f>VLOOKUP(C23,B32:D98,3,FALSE)</f>
        <v>FAIL</v>
      </c>
    </row>
    <row r="24" spans="2:8" x14ac:dyDescent="0.25">
      <c r="B24" t="s">
        <v>96</v>
      </c>
      <c r="C24" s="9" t="str">
        <f>MID(Request!C55,6,1)</f>
        <v/>
      </c>
      <c r="D24" t="b">
        <f t="shared" si="2"/>
        <v>1</v>
      </c>
      <c r="E24" t="e">
        <f t="shared" si="3"/>
        <v>#VALUE!</v>
      </c>
      <c r="F24" t="e">
        <f t="shared" si="5"/>
        <v>#VALUE!</v>
      </c>
      <c r="G24" t="e">
        <f t="shared" si="4"/>
        <v>#VALUE!</v>
      </c>
      <c r="H24" t="str">
        <f>VLOOKUP(C24,B32:D98,3,FALSE)</f>
        <v>FAIL</v>
      </c>
    </row>
    <row r="25" spans="2:8" x14ac:dyDescent="0.25">
      <c r="B25" t="s">
        <v>97</v>
      </c>
      <c r="C25" s="9" t="str">
        <f>MID(Request!C55,7,1)</f>
        <v/>
      </c>
      <c r="D25" t="b">
        <f t="shared" si="2"/>
        <v>1</v>
      </c>
      <c r="E25" t="e">
        <f t="shared" si="3"/>
        <v>#VALUE!</v>
      </c>
      <c r="F25" t="e">
        <f t="shared" si="5"/>
        <v>#VALUE!</v>
      </c>
      <c r="G25" t="e">
        <f t="shared" si="4"/>
        <v>#VALUE!</v>
      </c>
      <c r="H25" t="str">
        <f>VLOOKUP(C25,B32:D98,3,FALSE)</f>
        <v>FAIL</v>
      </c>
    </row>
    <row r="26" spans="2:8" x14ac:dyDescent="0.25">
      <c r="B26" t="s">
        <v>98</v>
      </c>
      <c r="C26" s="9" t="str">
        <f>MID(Request!C55,8,1)</f>
        <v/>
      </c>
      <c r="D26" t="b">
        <f t="shared" si="2"/>
        <v>1</v>
      </c>
      <c r="E26" t="e">
        <f>IF(VALUE(C26)&gt;0,"&gt;0","Fail")</f>
        <v>#VALUE!</v>
      </c>
      <c r="F26" t="e">
        <f t="shared" si="5"/>
        <v>#VALUE!</v>
      </c>
      <c r="G26" t="e">
        <f t="shared" si="4"/>
        <v>#VALUE!</v>
      </c>
      <c r="H26" t="str">
        <f>VLOOKUP(C26,B32:D98,3,FALSE)</f>
        <v>FAIL</v>
      </c>
    </row>
    <row r="27" spans="2:8" x14ac:dyDescent="0.25">
      <c r="B27" t="s">
        <v>99</v>
      </c>
      <c r="C27" t="str">
        <f>MID(Request!C55,9,1)</f>
        <v/>
      </c>
      <c r="D27" t="b">
        <f t="shared" si="2"/>
        <v>1</v>
      </c>
      <c r="E27" t="e">
        <f>IF(VALUE(C27)&gt;0,"&gt;0","Fail")</f>
        <v>#VALUE!</v>
      </c>
      <c r="F27" t="e">
        <f t="shared" si="5"/>
        <v>#VALUE!</v>
      </c>
      <c r="G27" t="e">
        <f t="shared" si="4"/>
        <v>#VALUE!</v>
      </c>
      <c r="H27" t="str">
        <f>VLOOKUP(C27,B32:C98,2,FALSE)</f>
        <v>FAIL</v>
      </c>
    </row>
    <row r="29" spans="2:8" x14ac:dyDescent="0.25">
      <c r="B29" t="str">
        <f>LEFT(H19,1) &amp; LEFT(H20,1) &amp; LEFT(H21,1) &amp; LEFT(H22,1) &amp; LEFT(H23,1) &amp; LEFT(H24,1) &amp; LEFT(H25,1) &amp; LEFT(H26,1) &amp; LEFT(H27,1)</f>
        <v>FFFFFFFFF</v>
      </c>
    </row>
    <row r="32" spans="2:8" x14ac:dyDescent="0.25">
      <c r="B32" t="s">
        <v>103</v>
      </c>
      <c r="C32" t="s">
        <v>144</v>
      </c>
      <c r="D32" t="s">
        <v>145</v>
      </c>
      <c r="F32" s="264" t="s">
        <v>387</v>
      </c>
    </row>
    <row r="33" spans="2:4" x14ac:dyDescent="0.25">
      <c r="B33" t="s">
        <v>104</v>
      </c>
      <c r="C33" t="s">
        <v>144</v>
      </c>
      <c r="D33" t="s">
        <v>145</v>
      </c>
    </row>
    <row r="34" spans="2:4" x14ac:dyDescent="0.25">
      <c r="B34" t="s">
        <v>105</v>
      </c>
      <c r="C34" t="s">
        <v>144</v>
      </c>
      <c r="D34" t="s">
        <v>145</v>
      </c>
    </row>
    <row r="35" spans="2:4" x14ac:dyDescent="0.25">
      <c r="B35" t="s">
        <v>106</v>
      </c>
      <c r="C35" t="s">
        <v>144</v>
      </c>
      <c r="D35" t="s">
        <v>145</v>
      </c>
    </row>
    <row r="36" spans="2:4" x14ac:dyDescent="0.25">
      <c r="B36" t="s">
        <v>107</v>
      </c>
      <c r="C36" t="s">
        <v>144</v>
      </c>
      <c r="D36" t="s">
        <v>145</v>
      </c>
    </row>
    <row r="37" spans="2:4" x14ac:dyDescent="0.25">
      <c r="B37" t="s">
        <v>108</v>
      </c>
      <c r="C37" t="s">
        <v>144</v>
      </c>
      <c r="D37" t="s">
        <v>145</v>
      </c>
    </row>
    <row r="38" spans="2:4" x14ac:dyDescent="0.25">
      <c r="B38" t="s">
        <v>109</v>
      </c>
      <c r="C38" t="s">
        <v>144</v>
      </c>
      <c r="D38" t="s">
        <v>145</v>
      </c>
    </row>
    <row r="39" spans="2:4" x14ac:dyDescent="0.25">
      <c r="B39" t="s">
        <v>110</v>
      </c>
      <c r="C39" t="s">
        <v>144</v>
      </c>
      <c r="D39" t="s">
        <v>145</v>
      </c>
    </row>
    <row r="40" spans="2:4" x14ac:dyDescent="0.25">
      <c r="B40" t="s">
        <v>111</v>
      </c>
      <c r="C40" t="s">
        <v>144</v>
      </c>
      <c r="D40" t="s">
        <v>145</v>
      </c>
    </row>
    <row r="41" spans="2:4" x14ac:dyDescent="0.25">
      <c r="B41" t="s">
        <v>112</v>
      </c>
      <c r="C41" t="s">
        <v>144</v>
      </c>
      <c r="D41" t="s">
        <v>145</v>
      </c>
    </row>
    <row r="42" spans="2:4" x14ac:dyDescent="0.25">
      <c r="B42" t="s">
        <v>113</v>
      </c>
      <c r="C42" t="s">
        <v>144</v>
      </c>
      <c r="D42" t="s">
        <v>145</v>
      </c>
    </row>
    <row r="43" spans="2:4" x14ac:dyDescent="0.25">
      <c r="B43" t="s">
        <v>114</v>
      </c>
      <c r="C43" t="s">
        <v>144</v>
      </c>
      <c r="D43" t="s">
        <v>145</v>
      </c>
    </row>
    <row r="44" spans="2:4" x14ac:dyDescent="0.25">
      <c r="B44" t="s">
        <v>115</v>
      </c>
      <c r="C44" t="s">
        <v>144</v>
      </c>
      <c r="D44" t="s">
        <v>145</v>
      </c>
    </row>
    <row r="45" spans="2:4" x14ac:dyDescent="0.25">
      <c r="B45" t="s">
        <v>116</v>
      </c>
      <c r="C45" t="s">
        <v>144</v>
      </c>
      <c r="D45" t="s">
        <v>145</v>
      </c>
    </row>
    <row r="46" spans="2:4" x14ac:dyDescent="0.25">
      <c r="B46" t="s">
        <v>117</v>
      </c>
      <c r="C46" t="s">
        <v>144</v>
      </c>
      <c r="D46" t="s">
        <v>145</v>
      </c>
    </row>
    <row r="47" spans="2:4" x14ac:dyDescent="0.25">
      <c r="B47" t="s">
        <v>118</v>
      </c>
      <c r="C47" t="s">
        <v>144</v>
      </c>
      <c r="D47" t="s">
        <v>145</v>
      </c>
    </row>
    <row r="48" spans="2:4" x14ac:dyDescent="0.25">
      <c r="B48" t="s">
        <v>119</v>
      </c>
      <c r="C48" t="s">
        <v>144</v>
      </c>
      <c r="D48" t="s">
        <v>145</v>
      </c>
    </row>
    <row r="49" spans="2:4" x14ac:dyDescent="0.25">
      <c r="B49" t="s">
        <v>120</v>
      </c>
      <c r="C49" t="s">
        <v>144</v>
      </c>
      <c r="D49" t="s">
        <v>145</v>
      </c>
    </row>
    <row r="50" spans="2:4" x14ac:dyDescent="0.25">
      <c r="B50" t="s">
        <v>121</v>
      </c>
      <c r="C50" t="s">
        <v>144</v>
      </c>
      <c r="D50" t="s">
        <v>145</v>
      </c>
    </row>
    <row r="51" spans="2:4" x14ac:dyDescent="0.25">
      <c r="B51" t="s">
        <v>122</v>
      </c>
      <c r="C51" t="s">
        <v>144</v>
      </c>
      <c r="D51" t="s">
        <v>145</v>
      </c>
    </row>
    <row r="52" spans="2:4" x14ac:dyDescent="0.25">
      <c r="B52" t="s">
        <v>123</v>
      </c>
      <c r="C52" t="s">
        <v>144</v>
      </c>
      <c r="D52" t="s">
        <v>145</v>
      </c>
    </row>
    <row r="53" spans="2:4" x14ac:dyDescent="0.25">
      <c r="B53" t="s">
        <v>124</v>
      </c>
      <c r="C53" t="s">
        <v>144</v>
      </c>
      <c r="D53" t="s">
        <v>145</v>
      </c>
    </row>
    <row r="54" spans="2:4" x14ac:dyDescent="0.25">
      <c r="B54" t="s">
        <v>125</v>
      </c>
      <c r="C54" t="s">
        <v>144</v>
      </c>
      <c r="D54" t="s">
        <v>145</v>
      </c>
    </row>
    <row r="55" spans="2:4" x14ac:dyDescent="0.25">
      <c r="B55" t="s">
        <v>126</v>
      </c>
      <c r="C55" t="s">
        <v>144</v>
      </c>
      <c r="D55" t="s">
        <v>145</v>
      </c>
    </row>
    <row r="56" spans="2:4" x14ac:dyDescent="0.25">
      <c r="B56" t="s">
        <v>127</v>
      </c>
      <c r="C56" t="s">
        <v>144</v>
      </c>
      <c r="D56" t="s">
        <v>145</v>
      </c>
    </row>
    <row r="57" spans="2:4" x14ac:dyDescent="0.25">
      <c r="B57" t="s">
        <v>128</v>
      </c>
      <c r="C57" t="s">
        <v>144</v>
      </c>
      <c r="D57" t="s">
        <v>145</v>
      </c>
    </row>
    <row r="58" spans="2:4" x14ac:dyDescent="0.25">
      <c r="B58" s="10" t="s">
        <v>154</v>
      </c>
      <c r="C58" t="s">
        <v>145</v>
      </c>
      <c r="D58" t="s">
        <v>144</v>
      </c>
    </row>
    <row r="59" spans="2:4" x14ac:dyDescent="0.25">
      <c r="B59" s="10" t="s">
        <v>153</v>
      </c>
      <c r="C59" t="s">
        <v>145</v>
      </c>
      <c r="D59" t="s">
        <v>144</v>
      </c>
    </row>
    <row r="60" spans="2:4" x14ac:dyDescent="0.25">
      <c r="B60" s="10" t="s">
        <v>146</v>
      </c>
      <c r="C60" t="s">
        <v>145</v>
      </c>
      <c r="D60" t="s">
        <v>144</v>
      </c>
    </row>
    <row r="61" spans="2:4" x14ac:dyDescent="0.25">
      <c r="B61" s="10" t="s">
        <v>147</v>
      </c>
      <c r="C61" t="s">
        <v>145</v>
      </c>
      <c r="D61" t="s">
        <v>144</v>
      </c>
    </row>
    <row r="62" spans="2:4" x14ac:dyDescent="0.25">
      <c r="B62" s="10" t="s">
        <v>152</v>
      </c>
      <c r="C62" t="s">
        <v>145</v>
      </c>
      <c r="D62" t="s">
        <v>144</v>
      </c>
    </row>
    <row r="63" spans="2:4" x14ac:dyDescent="0.25">
      <c r="B63" s="10" t="s">
        <v>151</v>
      </c>
      <c r="C63" t="s">
        <v>145</v>
      </c>
      <c r="D63" t="s">
        <v>144</v>
      </c>
    </row>
    <row r="64" spans="2:4" x14ac:dyDescent="0.25">
      <c r="B64" s="10" t="s">
        <v>150</v>
      </c>
      <c r="C64" t="s">
        <v>145</v>
      </c>
      <c r="D64" t="s">
        <v>144</v>
      </c>
    </row>
    <row r="65" spans="2:4" x14ac:dyDescent="0.25">
      <c r="B65" s="10" t="s">
        <v>149</v>
      </c>
      <c r="C65" t="s">
        <v>145</v>
      </c>
      <c r="D65" t="s">
        <v>144</v>
      </c>
    </row>
    <row r="66" spans="2:4" x14ac:dyDescent="0.25">
      <c r="B66" s="10" t="s">
        <v>148</v>
      </c>
      <c r="C66" t="s">
        <v>145</v>
      </c>
      <c r="D66" t="s">
        <v>144</v>
      </c>
    </row>
    <row r="67" spans="2:4" x14ac:dyDescent="0.25">
      <c r="B67" t="s">
        <v>129</v>
      </c>
      <c r="C67" t="s">
        <v>145</v>
      </c>
      <c r="D67" t="s">
        <v>145</v>
      </c>
    </row>
    <row r="68" spans="2:4" x14ac:dyDescent="0.25">
      <c r="B68" t="s">
        <v>130</v>
      </c>
      <c r="C68" t="s">
        <v>145</v>
      </c>
      <c r="D68" t="s">
        <v>145</v>
      </c>
    </row>
    <row r="69" spans="2:4" x14ac:dyDescent="0.25">
      <c r="B69" t="s">
        <v>131</v>
      </c>
      <c r="C69" t="s">
        <v>145</v>
      </c>
      <c r="D69" t="s">
        <v>145</v>
      </c>
    </row>
    <row r="70" spans="2:4" x14ac:dyDescent="0.25">
      <c r="B70" t="s">
        <v>132</v>
      </c>
      <c r="C70" t="s">
        <v>145</v>
      </c>
      <c r="D70" t="s">
        <v>145</v>
      </c>
    </row>
    <row r="71" spans="2:4" x14ac:dyDescent="0.25">
      <c r="B71" t="s">
        <v>133</v>
      </c>
      <c r="C71" t="s">
        <v>145</v>
      </c>
      <c r="D71" t="s">
        <v>145</v>
      </c>
    </row>
    <row r="72" spans="2:4" x14ac:dyDescent="0.25">
      <c r="B72" t="s">
        <v>134</v>
      </c>
      <c r="C72" t="s">
        <v>145</v>
      </c>
      <c r="D72" t="s">
        <v>145</v>
      </c>
    </row>
    <row r="73" spans="2:4" x14ac:dyDescent="0.25">
      <c r="B73" t="s">
        <v>135</v>
      </c>
      <c r="C73" t="s">
        <v>145</v>
      </c>
      <c r="D73" t="s">
        <v>145</v>
      </c>
    </row>
    <row r="74" spans="2:4" x14ac:dyDescent="0.25">
      <c r="B74" t="s">
        <v>136</v>
      </c>
      <c r="C74" t="s">
        <v>145</v>
      </c>
      <c r="D74" t="s">
        <v>145</v>
      </c>
    </row>
    <row r="75" spans="2:4" x14ac:dyDescent="0.25">
      <c r="B75" t="s">
        <v>137</v>
      </c>
      <c r="C75" t="s">
        <v>145</v>
      </c>
      <c r="D75" t="s">
        <v>145</v>
      </c>
    </row>
    <row r="76" spans="2:4" x14ac:dyDescent="0.25">
      <c r="B76" t="s">
        <v>138</v>
      </c>
      <c r="C76" t="s">
        <v>145</v>
      </c>
      <c r="D76" t="s">
        <v>145</v>
      </c>
    </row>
    <row r="77" spans="2:4" x14ac:dyDescent="0.25">
      <c r="B77" s="10" t="s">
        <v>155</v>
      </c>
      <c r="C77" t="s">
        <v>145</v>
      </c>
      <c r="D77" t="s">
        <v>144</v>
      </c>
    </row>
    <row r="78" spans="2:4" x14ac:dyDescent="0.25">
      <c r="B78" t="s">
        <v>139</v>
      </c>
      <c r="C78" t="s">
        <v>145</v>
      </c>
      <c r="D78" t="s">
        <v>145</v>
      </c>
    </row>
    <row r="79" spans="2:4" x14ac:dyDescent="0.25">
      <c r="B79" t="s">
        <v>140</v>
      </c>
      <c r="C79" t="s">
        <v>145</v>
      </c>
      <c r="D79" t="s">
        <v>145</v>
      </c>
    </row>
    <row r="80" spans="2:4" x14ac:dyDescent="0.25">
      <c r="B80" t="s">
        <v>141</v>
      </c>
      <c r="C80" t="s">
        <v>145</v>
      </c>
      <c r="D80" t="s">
        <v>145</v>
      </c>
    </row>
    <row r="81" spans="2:4" x14ac:dyDescent="0.25">
      <c r="B81" t="s">
        <v>142</v>
      </c>
      <c r="C81" t="s">
        <v>145</v>
      </c>
      <c r="D81" t="s">
        <v>145</v>
      </c>
    </row>
    <row r="82" spans="2:4" x14ac:dyDescent="0.25">
      <c r="B82" t="s">
        <v>143</v>
      </c>
      <c r="C82" t="s">
        <v>145</v>
      </c>
      <c r="D82" t="s">
        <v>145</v>
      </c>
    </row>
    <row r="83" spans="2:4" x14ac:dyDescent="0.25">
      <c r="B83" t="s">
        <v>249</v>
      </c>
      <c r="C83" s="12" t="s">
        <v>145</v>
      </c>
      <c r="D83" s="12" t="s">
        <v>145</v>
      </c>
    </row>
    <row r="84" spans="2:4" x14ac:dyDescent="0.25">
      <c r="B84" t="s">
        <v>250</v>
      </c>
      <c r="C84" s="12" t="s">
        <v>145</v>
      </c>
      <c r="D84" s="12" t="s">
        <v>145</v>
      </c>
    </row>
    <row r="85" spans="2:4" x14ac:dyDescent="0.25">
      <c r="B85" t="s">
        <v>251</v>
      </c>
      <c r="C85" s="12" t="s">
        <v>145</v>
      </c>
      <c r="D85" s="12" t="s">
        <v>145</v>
      </c>
    </row>
    <row r="86" spans="2:4" x14ac:dyDescent="0.25">
      <c r="B86" t="s">
        <v>251</v>
      </c>
      <c r="C86" s="12" t="s">
        <v>145</v>
      </c>
      <c r="D86" s="12" t="s">
        <v>145</v>
      </c>
    </row>
    <row r="87" spans="2:4" x14ac:dyDescent="0.25">
      <c r="B87" t="s">
        <v>252</v>
      </c>
      <c r="C87" s="12" t="s">
        <v>145</v>
      </c>
      <c r="D87" s="12" t="s">
        <v>145</v>
      </c>
    </row>
    <row r="88" spans="2:4" x14ac:dyDescent="0.25">
      <c r="B88" t="s">
        <v>253</v>
      </c>
      <c r="C88" s="12" t="s">
        <v>145</v>
      </c>
      <c r="D88" s="12" t="s">
        <v>145</v>
      </c>
    </row>
    <row r="89" spans="2:4" x14ac:dyDescent="0.25">
      <c r="B89" s="196" t="s">
        <v>254</v>
      </c>
      <c r="C89" s="12" t="s">
        <v>145</v>
      </c>
      <c r="D89" s="12" t="s">
        <v>145</v>
      </c>
    </row>
    <row r="90" spans="2:4" x14ac:dyDescent="0.25">
      <c r="B90" t="s">
        <v>141</v>
      </c>
      <c r="C90" s="12" t="s">
        <v>145</v>
      </c>
      <c r="D90" s="12" t="s">
        <v>145</v>
      </c>
    </row>
    <row r="91" spans="2:4" x14ac:dyDescent="0.25">
      <c r="B91" t="s">
        <v>255</v>
      </c>
      <c r="C91" s="12" t="s">
        <v>145</v>
      </c>
      <c r="D91" s="12" t="s">
        <v>145</v>
      </c>
    </row>
    <row r="92" spans="2:4" x14ac:dyDescent="0.25">
      <c r="B92" t="s">
        <v>256</v>
      </c>
      <c r="C92" s="12" t="s">
        <v>145</v>
      </c>
      <c r="D92" s="12" t="s">
        <v>145</v>
      </c>
    </row>
    <row r="93" spans="2:4" x14ac:dyDescent="0.25">
      <c r="B93" t="s">
        <v>257</v>
      </c>
      <c r="C93" s="12" t="s">
        <v>145</v>
      </c>
      <c r="D93" s="12" t="s">
        <v>145</v>
      </c>
    </row>
    <row r="94" spans="2:4" x14ac:dyDescent="0.25">
      <c r="B94" t="s">
        <v>258</v>
      </c>
      <c r="C94" s="12" t="s">
        <v>145</v>
      </c>
      <c r="D94" s="12" t="s">
        <v>145</v>
      </c>
    </row>
    <row r="95" spans="2:4" x14ac:dyDescent="0.25">
      <c r="B95" t="s">
        <v>259</v>
      </c>
      <c r="C95" s="12" t="s">
        <v>145</v>
      </c>
      <c r="D95" s="12" t="s">
        <v>145</v>
      </c>
    </row>
    <row r="96" spans="2:4" x14ac:dyDescent="0.25">
      <c r="B96" t="s">
        <v>260</v>
      </c>
      <c r="C96" s="12" t="s">
        <v>145</v>
      </c>
      <c r="D96" s="12" t="s">
        <v>145</v>
      </c>
    </row>
    <row r="97" spans="2:4" x14ac:dyDescent="0.25">
      <c r="B97" t="s">
        <v>261</v>
      </c>
      <c r="C97" s="12" t="s">
        <v>145</v>
      </c>
      <c r="D97" s="12" t="s">
        <v>145</v>
      </c>
    </row>
    <row r="98" spans="2:4" x14ac:dyDescent="0.25">
      <c r="B98" t="s">
        <v>262</v>
      </c>
      <c r="C98" s="12" t="s">
        <v>145</v>
      </c>
      <c r="D98" s="12" t="s">
        <v>145</v>
      </c>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0"/>
  <sheetViews>
    <sheetView zoomScale="75" zoomScaleNormal="75" workbookViewId="0"/>
  </sheetViews>
  <sheetFormatPr defaultRowHeight="15" x14ac:dyDescent="0.25"/>
  <cols>
    <col min="1" max="1" width="48.5703125" style="12" customWidth="1"/>
    <col min="2" max="2" width="36.85546875" style="12" customWidth="1"/>
    <col min="3" max="3" width="53.42578125" style="12" customWidth="1"/>
    <col min="4" max="4" width="24" style="12" customWidth="1"/>
    <col min="5" max="16384" width="9.140625" style="12"/>
  </cols>
  <sheetData>
    <row r="2" spans="1:4" x14ac:dyDescent="0.25">
      <c r="A2" s="393" t="s">
        <v>492</v>
      </c>
      <c r="B2" s="394"/>
      <c r="C2" s="394"/>
      <c r="D2" s="395"/>
    </row>
    <row r="3" spans="1:4" x14ac:dyDescent="0.25">
      <c r="A3" s="396"/>
      <c r="B3" s="397"/>
      <c r="C3" s="397"/>
      <c r="D3" s="398"/>
    </row>
    <row r="4" spans="1:4" ht="30" x14ac:dyDescent="0.25">
      <c r="A4" s="303" t="s">
        <v>450</v>
      </c>
      <c r="B4" s="303" t="s">
        <v>451</v>
      </c>
      <c r="C4" s="303" t="s">
        <v>493</v>
      </c>
      <c r="D4" s="303" t="s">
        <v>452</v>
      </c>
    </row>
    <row r="5" spans="1:4" x14ac:dyDescent="0.25">
      <c r="A5" s="304"/>
      <c r="B5" s="304"/>
      <c r="C5" s="304"/>
      <c r="D5" s="304"/>
    </row>
    <row r="6" spans="1:4" x14ac:dyDescent="0.25">
      <c r="A6" s="272" t="s">
        <v>226</v>
      </c>
      <c r="B6" s="272" t="s">
        <v>178</v>
      </c>
      <c r="C6" s="272" t="s">
        <v>90</v>
      </c>
      <c r="D6" s="272" t="s">
        <v>90</v>
      </c>
    </row>
    <row r="7" spans="1:4" x14ac:dyDescent="0.25">
      <c r="A7" s="272" t="s">
        <v>360</v>
      </c>
      <c r="B7" s="272" t="s">
        <v>74</v>
      </c>
      <c r="C7" s="272" t="s">
        <v>90</v>
      </c>
      <c r="D7" s="272" t="s">
        <v>90</v>
      </c>
    </row>
    <row r="8" spans="1:4" x14ac:dyDescent="0.25">
      <c r="A8" s="272" t="s">
        <v>230</v>
      </c>
      <c r="B8" s="272" t="s">
        <v>192</v>
      </c>
      <c r="C8" s="272" t="s">
        <v>90</v>
      </c>
      <c r="D8" s="272" t="s">
        <v>90</v>
      </c>
    </row>
    <row r="9" spans="1:4" x14ac:dyDescent="0.25">
      <c r="A9" s="272" t="s">
        <v>229</v>
      </c>
      <c r="B9" s="272" t="s">
        <v>72</v>
      </c>
      <c r="C9" s="272" t="s">
        <v>90</v>
      </c>
      <c r="D9" s="272" t="s">
        <v>29</v>
      </c>
    </row>
    <row r="10" spans="1:4" x14ac:dyDescent="0.25">
      <c r="A10" s="272" t="s">
        <v>236</v>
      </c>
      <c r="B10" s="272" t="s">
        <v>76</v>
      </c>
      <c r="C10" s="272" t="s">
        <v>90</v>
      </c>
      <c r="D10" s="272" t="s">
        <v>90</v>
      </c>
    </row>
    <row r="11" spans="1:4" x14ac:dyDescent="0.25">
      <c r="A11" s="272" t="s">
        <v>305</v>
      </c>
      <c r="B11" s="272" t="s">
        <v>177</v>
      </c>
      <c r="C11" s="272" t="s">
        <v>90</v>
      </c>
      <c r="D11" s="272" t="s">
        <v>29</v>
      </c>
    </row>
    <row r="12" spans="1:4" x14ac:dyDescent="0.25">
      <c r="A12" s="272" t="s">
        <v>228</v>
      </c>
      <c r="B12" s="272" t="s">
        <v>175</v>
      </c>
      <c r="C12" s="272" t="s">
        <v>90</v>
      </c>
      <c r="D12" s="272" t="s">
        <v>90</v>
      </c>
    </row>
    <row r="13" spans="1:4" ht="30" x14ac:dyDescent="0.25">
      <c r="A13" s="272" t="s">
        <v>231</v>
      </c>
      <c r="B13" s="272" t="s">
        <v>75</v>
      </c>
      <c r="C13" s="272" t="s">
        <v>90</v>
      </c>
      <c r="D13" s="272" t="s">
        <v>29</v>
      </c>
    </row>
    <row r="14" spans="1:4" x14ac:dyDescent="0.25">
      <c r="A14" s="272" t="s">
        <v>227</v>
      </c>
      <c r="B14" s="272" t="s">
        <v>176</v>
      </c>
      <c r="C14" s="272" t="s">
        <v>90</v>
      </c>
      <c r="D14" s="272" t="s">
        <v>90</v>
      </c>
    </row>
    <row r="15" spans="1:4" ht="30" x14ac:dyDescent="0.25">
      <c r="A15" s="272" t="s">
        <v>234</v>
      </c>
      <c r="B15" s="272" t="s">
        <v>73</v>
      </c>
      <c r="C15" s="272" t="s">
        <v>90</v>
      </c>
      <c r="D15" s="272" t="s">
        <v>29</v>
      </c>
    </row>
    <row r="16" spans="1:4" ht="30" x14ac:dyDescent="0.25">
      <c r="A16" s="272" t="s">
        <v>477</v>
      </c>
      <c r="B16" s="272" t="s">
        <v>405</v>
      </c>
      <c r="C16" s="272" t="s">
        <v>90</v>
      </c>
      <c r="D16" s="272" t="s">
        <v>29</v>
      </c>
    </row>
    <row r="17" spans="1:4" x14ac:dyDescent="0.25">
      <c r="A17" s="304"/>
      <c r="B17" s="304"/>
      <c r="C17" s="304"/>
      <c r="D17" s="304"/>
    </row>
    <row r="18" spans="1:4" ht="90" x14ac:dyDescent="0.25">
      <c r="A18" s="305" t="s">
        <v>233</v>
      </c>
      <c r="B18" s="305" t="s">
        <v>453</v>
      </c>
      <c r="C18" s="305" t="s">
        <v>454</v>
      </c>
      <c r="D18" s="305" t="s">
        <v>29</v>
      </c>
    </row>
    <row r="19" spans="1:4" ht="90" x14ac:dyDescent="0.25">
      <c r="A19" s="305" t="s">
        <v>233</v>
      </c>
      <c r="B19" s="305" t="s">
        <v>455</v>
      </c>
      <c r="C19" s="305" t="s">
        <v>456</v>
      </c>
      <c r="D19" s="305" t="s">
        <v>29</v>
      </c>
    </row>
    <row r="20" spans="1:4" ht="90" x14ac:dyDescent="0.25">
      <c r="A20" s="305" t="s">
        <v>232</v>
      </c>
      <c r="B20" s="305" t="s">
        <v>457</v>
      </c>
      <c r="C20" s="305" t="s">
        <v>458</v>
      </c>
      <c r="D20" s="305" t="s">
        <v>29</v>
      </c>
    </row>
    <row r="21" spans="1:4" ht="90" x14ac:dyDescent="0.25">
      <c r="A21" s="305" t="s">
        <v>232</v>
      </c>
      <c r="B21" s="305" t="s">
        <v>455</v>
      </c>
      <c r="C21" s="305" t="s">
        <v>459</v>
      </c>
      <c r="D21" s="305" t="s">
        <v>29</v>
      </c>
    </row>
    <row r="22" spans="1:4" x14ac:dyDescent="0.25">
      <c r="A22" s="304"/>
      <c r="B22" s="304"/>
      <c r="C22" s="304"/>
      <c r="D22" s="304"/>
    </row>
    <row r="23" spans="1:4" ht="75" x14ac:dyDescent="0.25">
      <c r="A23" s="305" t="s">
        <v>248</v>
      </c>
      <c r="B23" s="306" t="s">
        <v>455</v>
      </c>
      <c r="C23" s="306" t="s">
        <v>460</v>
      </c>
      <c r="D23" s="306" t="s">
        <v>29</v>
      </c>
    </row>
    <row r="24" spans="1:4" ht="45" x14ac:dyDescent="0.25">
      <c r="A24" s="305" t="s">
        <v>248</v>
      </c>
      <c r="B24" s="306" t="s">
        <v>457</v>
      </c>
      <c r="C24" s="306" t="s">
        <v>461</v>
      </c>
      <c r="D24" s="306" t="s">
        <v>29</v>
      </c>
    </row>
    <row r="25" spans="1:4" x14ac:dyDescent="0.25">
      <c r="A25" s="304"/>
      <c r="B25" s="304"/>
      <c r="C25" s="304"/>
      <c r="D25" s="304"/>
    </row>
    <row r="26" spans="1:4" ht="75" x14ac:dyDescent="0.25">
      <c r="A26" s="307" t="s">
        <v>235</v>
      </c>
      <c r="B26" s="308" t="s">
        <v>455</v>
      </c>
      <c r="C26" s="306" t="s">
        <v>462</v>
      </c>
      <c r="D26" s="308" t="s">
        <v>29</v>
      </c>
    </row>
    <row r="27" spans="1:4" ht="90" x14ac:dyDescent="0.25">
      <c r="A27" s="330" t="s">
        <v>235</v>
      </c>
      <c r="B27" s="309" t="s">
        <v>457</v>
      </c>
      <c r="C27" s="309" t="s">
        <v>463</v>
      </c>
      <c r="D27" s="309" t="s">
        <v>29</v>
      </c>
    </row>
    <row r="28" spans="1:4" ht="90" x14ac:dyDescent="0.25">
      <c r="A28" s="330" t="s">
        <v>235</v>
      </c>
      <c r="B28" s="309" t="s">
        <v>453</v>
      </c>
      <c r="C28" s="309" t="s">
        <v>464</v>
      </c>
      <c r="D28" s="309" t="s">
        <v>29</v>
      </c>
    </row>
    <row r="29" spans="1:4" ht="90" x14ac:dyDescent="0.25">
      <c r="A29" s="330" t="s">
        <v>235</v>
      </c>
      <c r="B29" s="309" t="s">
        <v>453</v>
      </c>
      <c r="C29" s="309" t="s">
        <v>465</v>
      </c>
      <c r="D29" s="309" t="s">
        <v>29</v>
      </c>
    </row>
    <row r="30" spans="1:4" x14ac:dyDescent="0.25">
      <c r="A30" s="304"/>
      <c r="B30" s="304"/>
      <c r="C30" s="304"/>
      <c r="D30" s="304"/>
    </row>
  </sheetData>
  <mergeCells count="1">
    <mergeCell ref="A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5"/>
  <sheetViews>
    <sheetView workbookViewId="0">
      <selection activeCell="B14" sqref="B14:B15"/>
    </sheetView>
  </sheetViews>
  <sheetFormatPr defaultRowHeight="15" x14ac:dyDescent="0.25"/>
  <cols>
    <col min="1" max="1" width="93.5703125" style="12" customWidth="1"/>
    <col min="2" max="2" width="71.7109375" customWidth="1"/>
    <col min="3" max="3" width="13.140625" customWidth="1"/>
    <col min="4" max="4" width="33.5703125" customWidth="1"/>
  </cols>
  <sheetData>
    <row r="1" spans="1:2" s="6" customFormat="1" x14ac:dyDescent="0.25">
      <c r="A1" s="6" t="s">
        <v>224</v>
      </c>
      <c r="B1" s="6" t="s">
        <v>240</v>
      </c>
    </row>
    <row r="2" spans="1:2" x14ac:dyDescent="0.25">
      <c r="A2" s="12" t="s">
        <v>226</v>
      </c>
      <c r="B2" t="s">
        <v>37</v>
      </c>
    </row>
    <row r="3" spans="1:2" x14ac:dyDescent="0.25">
      <c r="A3" s="12" t="s">
        <v>228</v>
      </c>
      <c r="B3" t="s">
        <v>173</v>
      </c>
    </row>
    <row r="4" spans="1:2" x14ac:dyDescent="0.25">
      <c r="A4" s="12" t="s">
        <v>227</v>
      </c>
      <c r="B4" t="s">
        <v>216</v>
      </c>
    </row>
    <row r="5" spans="1:2" x14ac:dyDescent="0.25">
      <c r="A5" s="12" t="s">
        <v>236</v>
      </c>
      <c r="B5" t="s">
        <v>38</v>
      </c>
    </row>
    <row r="6" spans="1:2" x14ac:dyDescent="0.25">
      <c r="A6" s="12" t="s">
        <v>229</v>
      </c>
      <c r="B6" t="s">
        <v>11</v>
      </c>
    </row>
    <row r="7" spans="1:2" x14ac:dyDescent="0.25">
      <c r="A7" s="12" t="s">
        <v>360</v>
      </c>
      <c r="B7" t="s">
        <v>36</v>
      </c>
    </row>
    <row r="8" spans="1:2" x14ac:dyDescent="0.25">
      <c r="A8" s="12" t="s">
        <v>230</v>
      </c>
      <c r="B8" t="s">
        <v>191</v>
      </c>
    </row>
    <row r="9" spans="1:2" x14ac:dyDescent="0.25">
      <c r="A9" s="12" t="s">
        <v>305</v>
      </c>
      <c r="B9" t="s">
        <v>39</v>
      </c>
    </row>
    <row r="10" spans="1:2" x14ac:dyDescent="0.25">
      <c r="A10" s="12" t="s">
        <v>231</v>
      </c>
      <c r="B10" t="s">
        <v>156</v>
      </c>
    </row>
    <row r="11" spans="1:2" x14ac:dyDescent="0.25">
      <c r="A11" s="12" t="s">
        <v>232</v>
      </c>
      <c r="B11" t="s">
        <v>41</v>
      </c>
    </row>
    <row r="12" spans="1:2" x14ac:dyDescent="0.25">
      <c r="A12" s="12" t="s">
        <v>233</v>
      </c>
      <c r="B12" t="s">
        <v>42</v>
      </c>
    </row>
    <row r="13" spans="1:2" x14ac:dyDescent="0.25">
      <c r="A13" s="12" t="s">
        <v>234</v>
      </c>
      <c r="B13" t="s">
        <v>32</v>
      </c>
    </row>
    <row r="14" spans="1:2" x14ac:dyDescent="0.25">
      <c r="A14" s="12" t="s">
        <v>248</v>
      </c>
      <c r="B14" t="s">
        <v>12</v>
      </c>
    </row>
    <row r="15" spans="1:2" x14ac:dyDescent="0.25">
      <c r="A15" s="12" t="s">
        <v>235</v>
      </c>
      <c r="B15" t="s">
        <v>43</v>
      </c>
    </row>
    <row r="16" spans="1:2" x14ac:dyDescent="0.25">
      <c r="A16" s="12" t="s">
        <v>477</v>
      </c>
      <c r="B16" t="s">
        <v>362</v>
      </c>
    </row>
    <row r="21" spans="1:2" x14ac:dyDescent="0.25">
      <c r="A21" s="264" t="s">
        <v>366</v>
      </c>
      <c r="B21" s="1"/>
    </row>
    <row r="22" spans="1:2" x14ac:dyDescent="0.25">
      <c r="A22" s="264"/>
      <c r="B22" s="1"/>
    </row>
    <row r="23" spans="1:2" x14ac:dyDescent="0.25">
      <c r="A23" s="264" t="s">
        <v>370</v>
      </c>
    </row>
    <row r="24" spans="1:2" x14ac:dyDescent="0.25">
      <c r="A24" s="264"/>
      <c r="B24" s="21"/>
    </row>
    <row r="25" spans="1:2" x14ac:dyDescent="0.25">
      <c r="A25" s="264" t="s">
        <v>367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14" sqref="B14:B15"/>
    </sheetView>
  </sheetViews>
  <sheetFormatPr defaultRowHeight="15" x14ac:dyDescent="0.25"/>
  <cols>
    <col min="2" max="2" width="56.85546875" customWidth="1"/>
  </cols>
  <sheetData>
    <row r="1" spans="1:2" x14ac:dyDescent="0.25">
      <c r="A1" s="264" t="s">
        <v>225</v>
      </c>
    </row>
    <row r="3" spans="1:2" x14ac:dyDescent="0.25">
      <c r="B3" s="163" t="str">
        <f>IFERROR(VLOOKUP(Request!C23,Service!A2:B16,2,FALSE),"")</f>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19"/>
  <sheetViews>
    <sheetView workbookViewId="0">
      <selection activeCell="B14" sqref="B14:B15"/>
    </sheetView>
  </sheetViews>
  <sheetFormatPr defaultRowHeight="15" x14ac:dyDescent="0.25"/>
  <cols>
    <col min="1" max="1" width="32" customWidth="1"/>
    <col min="5" max="5" width="10.7109375" customWidth="1"/>
    <col min="6" max="6" width="66.140625" customWidth="1"/>
  </cols>
  <sheetData>
    <row r="1" spans="1:6" x14ac:dyDescent="0.25">
      <c r="A1" s="5" t="s">
        <v>237</v>
      </c>
    </row>
    <row r="2" spans="1:6" x14ac:dyDescent="0.25">
      <c r="A2" t="str">
        <f>IF(ServiceType!B3="Quote-Early Preserved", "Dual(classic/alpha)","classic plus")</f>
        <v>classic plus</v>
      </c>
      <c r="E2">
        <f>IF(ServiceType!B3 = "Quote-Age Retirement",1,0)</f>
        <v>0</v>
      </c>
      <c r="F2" t="s">
        <v>11</v>
      </c>
    </row>
    <row r="3" spans="1:6" x14ac:dyDescent="0.25">
      <c r="A3" t="str">
        <f>IF(ServiceType!B3="Quote-Early Preserved", " ","premium")</f>
        <v>premium</v>
      </c>
      <c r="E3">
        <f>IF(ServiceType!B3 = "Quote-Early Retirement (ARR)",1,0)</f>
        <v>0</v>
      </c>
      <c r="F3" t="s">
        <v>39</v>
      </c>
    </row>
    <row r="4" spans="1:6" x14ac:dyDescent="0.25">
      <c r="A4" t="str">
        <f>IF(ServiceType!B3="Quote-Early Preserved", " ","nuvos")</f>
        <v>nuvos</v>
      </c>
      <c r="E4">
        <f>IF(ServiceType!B3 = "Quote-Efficiency Dismissal (no compensation)-2 or more years service",1,0)</f>
        <v>0</v>
      </c>
      <c r="F4" t="s">
        <v>41</v>
      </c>
    </row>
    <row r="5" spans="1:6" x14ac:dyDescent="0.25">
      <c r="A5" t="str">
        <f>IF(ServiceType!B3="Quote-Early Preserved", " ","alpha")</f>
        <v>alpha</v>
      </c>
      <c r="E5">
        <f>IF(ServiceType!B3= "Quote-Efficiency Dismissal (no compensation)-less than 2 years service",1,0)</f>
        <v>0</v>
      </c>
      <c r="F5" t="s">
        <v>42</v>
      </c>
    </row>
    <row r="6" spans="1:6" ht="14.25" customHeight="1" x14ac:dyDescent="0.25">
      <c r="A6" s="262" t="str">
        <f>IF(ServiceType!B3="Quote-Early Preserved", " ","Dual(classic/alpha)")</f>
        <v>Dual(classic/alpha)</v>
      </c>
      <c r="E6">
        <f>IF(ServiceType!B3= "Quote-Leaver-2 or more years service",1,0)</f>
        <v>0</v>
      </c>
      <c r="F6" t="s">
        <v>12</v>
      </c>
    </row>
    <row r="7" spans="1:6" x14ac:dyDescent="0.25">
      <c r="A7" s="5" t="str">
        <f>IF(ServiceType!B3="Quote-Early Preserved", " ","Dual(classic plus/alpha)")</f>
        <v>Dual(classic plus/alpha)</v>
      </c>
      <c r="E7">
        <f>IF(ServiceType!B3 = "Quote-Leaver-less than 2 years service",1,0)</f>
        <v>0</v>
      </c>
      <c r="F7" t="s">
        <v>43</v>
      </c>
    </row>
    <row r="8" spans="1:6" x14ac:dyDescent="0.25">
      <c r="A8" s="5" t="str">
        <f>IF(ServiceType!B3="Quote-Early Preserved", " ","Dual(premium/alpha)")</f>
        <v>Dual(premium/alpha)</v>
      </c>
      <c r="E8" s="12">
        <f>IF(ServiceType!B3 = "Quote-Early Preserved",1,0)</f>
        <v>0</v>
      </c>
      <c r="F8" t="s">
        <v>362</v>
      </c>
    </row>
    <row r="9" spans="1:6" x14ac:dyDescent="0.25">
      <c r="A9" s="263" t="str">
        <f>IF(ServiceType!B3="Quote-Early Preserved", " ","Dual(nuvos/alpha)")</f>
        <v>Dual(nuvos/alpha)</v>
      </c>
    </row>
    <row r="10" spans="1:6" x14ac:dyDescent="0.25">
      <c r="A10" s="5" t="str">
        <f>IF(Scheme!E10 &gt; 0," ","partnership")</f>
        <v>partnership</v>
      </c>
      <c r="E10">
        <f>SUM(E2:E9)</f>
        <v>0</v>
      </c>
      <c r="F10" t="s">
        <v>363</v>
      </c>
    </row>
    <row r="11" spans="1:6" x14ac:dyDescent="0.25">
      <c r="A11" t="str">
        <f>IF(ServiceType!B3 = "Quote-Death-in-Service","opted-out"," ")</f>
        <v xml:space="preserve"> </v>
      </c>
    </row>
    <row r="15" spans="1:6" x14ac:dyDescent="0.25">
      <c r="A15" s="264" t="s">
        <v>404</v>
      </c>
      <c r="B15" s="264"/>
      <c r="C15" s="264"/>
      <c r="D15" s="264"/>
      <c r="E15" s="264"/>
      <c r="F15" s="264"/>
    </row>
    <row r="16" spans="1:6" x14ac:dyDescent="0.25">
      <c r="A16" s="264"/>
      <c r="B16" s="264"/>
      <c r="C16" s="264"/>
      <c r="D16" s="264"/>
      <c r="E16" s="264"/>
      <c r="F16" s="264"/>
    </row>
    <row r="17" spans="1:6" x14ac:dyDescent="0.25">
      <c r="A17" s="264" t="s">
        <v>364</v>
      </c>
      <c r="B17" s="264"/>
      <c r="C17" s="264"/>
      <c r="D17" s="264"/>
      <c r="E17" s="264"/>
      <c r="F17" s="264"/>
    </row>
    <row r="18" spans="1:6" x14ac:dyDescent="0.25">
      <c r="A18" s="264"/>
      <c r="B18" s="264"/>
      <c r="C18" s="264"/>
      <c r="D18" s="264"/>
      <c r="E18" s="264"/>
      <c r="F18" s="264"/>
    </row>
    <row r="19" spans="1:6" x14ac:dyDescent="0.25">
      <c r="A19" s="264" t="s">
        <v>365</v>
      </c>
      <c r="B19" s="264"/>
      <c r="C19" s="264"/>
      <c r="D19" s="264"/>
      <c r="E19" s="264"/>
      <c r="F19" s="26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4"/>
  <sheetViews>
    <sheetView workbookViewId="0">
      <selection activeCell="B14" sqref="B14:B15"/>
    </sheetView>
  </sheetViews>
  <sheetFormatPr defaultRowHeight="15" x14ac:dyDescent="0.25"/>
  <sheetData>
    <row r="1" spans="1:1" x14ac:dyDescent="0.25">
      <c r="A1" t="s">
        <v>5</v>
      </c>
    </row>
    <row r="2" spans="1:1" x14ac:dyDescent="0.25">
      <c r="A2" t="s">
        <v>4</v>
      </c>
    </row>
    <row r="4" spans="1:1" x14ac:dyDescent="0.25">
      <c r="A4" s="264" t="s">
        <v>379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7"/>
  <sheetViews>
    <sheetView workbookViewId="0">
      <selection activeCell="B14" sqref="B14:B15"/>
    </sheetView>
  </sheetViews>
  <sheetFormatPr defaultRowHeight="15" x14ac:dyDescent="0.25"/>
  <cols>
    <col min="1" max="1" width="28.42578125" customWidth="1"/>
  </cols>
  <sheetData>
    <row r="1" spans="1:4" x14ac:dyDescent="0.25">
      <c r="A1" s="13" t="str">
        <f>IF(Request!B80 = "Marital Status *", "Single","")</f>
        <v/>
      </c>
      <c r="D1" s="264" t="s">
        <v>379</v>
      </c>
    </row>
    <row r="2" spans="1:4" ht="18.75" customHeight="1" x14ac:dyDescent="0.25">
      <c r="A2" s="13" t="str">
        <f>IF(Request!B80 = "Marital Status *", "Married", "")</f>
        <v/>
      </c>
    </row>
    <row r="3" spans="1:4" ht="22.5" customHeight="1" x14ac:dyDescent="0.25">
      <c r="A3" s="13" t="str">
        <f>IF(Request!B80 = "Marital Status *", "Civil Partnership","")</f>
        <v/>
      </c>
      <c r="D3" s="264" t="s">
        <v>382</v>
      </c>
    </row>
    <row r="4" spans="1:4" ht="23.25" customHeight="1" x14ac:dyDescent="0.25">
      <c r="A4" s="13" t="str">
        <f>IF(Request!B80 = "Marital Status *", "Divorced", "")</f>
        <v/>
      </c>
    </row>
    <row r="5" spans="1:4" x14ac:dyDescent="0.25">
      <c r="A5" s="13" t="str">
        <f>IF(Request!B80 = "Marital Status *", "Civil Partnership dissolved", "")</f>
        <v/>
      </c>
    </row>
    <row r="6" spans="1:4" x14ac:dyDescent="0.25">
      <c r="A6" s="13" t="str">
        <f>IF(Request!B80 = "Marital Status *", "Widowed", "")</f>
        <v/>
      </c>
    </row>
    <row r="7" spans="1:4" x14ac:dyDescent="0.25">
      <c r="A7" s="13" t="str">
        <f>IF(Request!B80 = "Marital Status *", "Unknown", "")</f>
        <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2"/>
  <sheetViews>
    <sheetView workbookViewId="0">
      <selection activeCell="B14" sqref="B14:B15"/>
    </sheetView>
  </sheetViews>
  <sheetFormatPr defaultRowHeight="15" x14ac:dyDescent="0.25"/>
  <cols>
    <col min="1" max="1" width="41.85546875" customWidth="1"/>
    <col min="2" max="2" width="20" customWidth="1"/>
    <col min="3" max="3" width="27.140625" customWidth="1"/>
    <col min="7" max="7" width="25.28515625" customWidth="1"/>
  </cols>
  <sheetData>
    <row r="2" spans="1:8" s="6" customFormat="1" x14ac:dyDescent="0.25">
      <c r="A2" s="6" t="s">
        <v>217</v>
      </c>
      <c r="C2" s="6" t="s">
        <v>218</v>
      </c>
      <c r="G2" s="6" t="s">
        <v>320</v>
      </c>
    </row>
    <row r="3" spans="1:8" x14ac:dyDescent="0.25">
      <c r="A3" t="s">
        <v>37</v>
      </c>
      <c r="B3">
        <f>IF(A3=ServiceType!B3,1,0)</f>
        <v>0</v>
      </c>
      <c r="C3" t="s">
        <v>1</v>
      </c>
      <c r="D3">
        <f>IF(C3=Request!C59,1,0)</f>
        <v>0</v>
      </c>
      <c r="G3" s="10" t="s">
        <v>7</v>
      </c>
      <c r="H3">
        <f>IF(Request!C80= "Divorced",1,0)</f>
        <v>0</v>
      </c>
    </row>
    <row r="4" spans="1:8" x14ac:dyDescent="0.25">
      <c r="A4" t="s">
        <v>216</v>
      </c>
      <c r="B4" s="12">
        <f>IF(A4=ServiceType!B3,1,0)</f>
        <v>0</v>
      </c>
      <c r="C4" t="s">
        <v>3</v>
      </c>
      <c r="D4" s="12">
        <f>IF(C4=Request!C59,1,0)</f>
        <v>0</v>
      </c>
      <c r="G4" t="s">
        <v>8</v>
      </c>
      <c r="H4" s="12">
        <f>IF(Request!C80= "Widowed",1,0)</f>
        <v>0</v>
      </c>
    </row>
    <row r="5" spans="1:8" x14ac:dyDescent="0.25">
      <c r="A5" t="s">
        <v>11</v>
      </c>
      <c r="B5" s="12">
        <f>IF(A5=ServiceType!B3,1,0)</f>
        <v>0</v>
      </c>
      <c r="C5" t="s">
        <v>64</v>
      </c>
      <c r="D5" s="12">
        <f>IF(C5=Request!C59,1,0)</f>
        <v>0</v>
      </c>
      <c r="G5" t="s">
        <v>319</v>
      </c>
      <c r="H5" s="12">
        <f>IF(Request!C80= "Civil Partnership Dissolved",1,0)</f>
        <v>0</v>
      </c>
    </row>
    <row r="6" spans="1:8" x14ac:dyDescent="0.25">
      <c r="A6" t="s">
        <v>36</v>
      </c>
      <c r="B6" s="12">
        <f>IF(A6=ServiceType!B3,1,0)</f>
        <v>0</v>
      </c>
      <c r="C6" t="s">
        <v>65</v>
      </c>
      <c r="D6" s="12">
        <f>IF(C6=Request!C59,1,0)</f>
        <v>0</v>
      </c>
    </row>
    <row r="7" spans="1:8" x14ac:dyDescent="0.25">
      <c r="A7" t="s">
        <v>39</v>
      </c>
      <c r="B7" s="12">
        <f>IF(A7=ServiceType!B3,1,0)</f>
        <v>0</v>
      </c>
      <c r="D7" s="12"/>
    </row>
    <row r="8" spans="1:8" x14ac:dyDescent="0.25">
      <c r="A8" t="s">
        <v>32</v>
      </c>
      <c r="B8" s="12">
        <f>IF(A8=ServiceType!B3,1,0)</f>
        <v>0</v>
      </c>
      <c r="D8" s="12"/>
    </row>
    <row r="9" spans="1:8" s="12" customFormat="1" x14ac:dyDescent="0.25">
      <c r="A9" s="12" t="s">
        <v>362</v>
      </c>
      <c r="B9" s="12">
        <f>IF(A9=ServiceType!B3,1,0)</f>
        <v>0</v>
      </c>
    </row>
    <row r="10" spans="1:8" s="12" customFormat="1" x14ac:dyDescent="0.25"/>
    <row r="12" spans="1:8" x14ac:dyDescent="0.25">
      <c r="B12">
        <f>SUM(B3:B11)</f>
        <v>0</v>
      </c>
      <c r="D12">
        <f>SUM(D3:D11)</f>
        <v>0</v>
      </c>
      <c r="H12">
        <f>SUM(H3:H11)</f>
        <v>0</v>
      </c>
    </row>
    <row r="14" spans="1:8" x14ac:dyDescent="0.25">
      <c r="A14" t="s">
        <v>317</v>
      </c>
      <c r="B14" t="str">
        <f>IF((B12+D12) &gt; 1,"Yes", "No")</f>
        <v>No</v>
      </c>
    </row>
    <row r="15" spans="1:8" x14ac:dyDescent="0.25">
      <c r="A15" t="s">
        <v>318</v>
      </c>
      <c r="B15" s="12" t="str">
        <f>IF((B12+D12 + H12) &gt; 2,"Yes", "No")</f>
        <v>No</v>
      </c>
    </row>
    <row r="20" spans="1:1" x14ac:dyDescent="0.25">
      <c r="A20" s="264" t="s">
        <v>380</v>
      </c>
    </row>
    <row r="21" spans="1:1" x14ac:dyDescent="0.25">
      <c r="A21" s="264"/>
    </row>
    <row r="22" spans="1:1" x14ac:dyDescent="0.25">
      <c r="A22" s="264" t="s">
        <v>381</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6"/>
  <sheetViews>
    <sheetView workbookViewId="0">
      <selection activeCell="B14" sqref="B14:B15"/>
    </sheetView>
  </sheetViews>
  <sheetFormatPr defaultRowHeight="15" x14ac:dyDescent="0.25"/>
  <sheetData>
    <row r="1" spans="1:1" x14ac:dyDescent="0.25">
      <c r="A1" t="s">
        <v>158</v>
      </c>
    </row>
    <row r="2" spans="1:1" x14ac:dyDescent="0.25">
      <c r="A2" t="s">
        <v>159</v>
      </c>
    </row>
    <row r="6" spans="1:1" x14ac:dyDescent="0.25">
      <c r="A6" s="264" t="s">
        <v>390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Request</vt:lpstr>
      <vt:lpstr>Guidance Notes</vt:lpstr>
      <vt:lpstr>Service</vt:lpstr>
      <vt:lpstr>ServiceType</vt:lpstr>
      <vt:lpstr>Scheme</vt:lpstr>
      <vt:lpstr>YesNo</vt:lpstr>
      <vt:lpstr>MaritalStatus</vt:lpstr>
      <vt:lpstr>MarriageMessages</vt:lpstr>
      <vt:lpstr>Gender</vt:lpstr>
      <vt:lpstr>YesNoUnknown</vt:lpstr>
      <vt:lpstr>DISYesNo</vt:lpstr>
      <vt:lpstr>AddInfoList1</vt:lpstr>
      <vt:lpstr>CTI</vt:lpstr>
      <vt:lpstr>CTIcriteria</vt:lpstr>
      <vt:lpstr>NRD</vt:lpstr>
      <vt:lpstr>AlphaNRD</vt:lpstr>
      <vt:lpstr>ARR&amp;AgeValidation</vt:lpstr>
      <vt:lpstr>Additional</vt:lpstr>
      <vt:lpstr>Additional2</vt:lpstr>
      <vt:lpstr>Compensation</vt:lpstr>
      <vt:lpstr>Message1</vt:lpstr>
      <vt:lpstr>Message2</vt:lpstr>
      <vt:lpstr>LDOS</vt:lpstr>
      <vt:lpstr>Death_Sick</vt:lpstr>
      <vt:lpstr>WhiteFont</vt:lpstr>
      <vt:lpstr>FormatValidation</vt:lpstr>
      <vt:lpstr>Info Only CTI Scenarios</vt:lpstr>
      <vt:lpstr>DOB</vt:lpstr>
      <vt:lpstr>Request!Print_Area</vt:lpstr>
      <vt:lpstr>Sex</vt:lpstr>
      <vt:lpstr>SPD</vt:lpstr>
    </vt:vector>
  </TitlesOfParts>
  <Company>Equiniti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Brown</dc:creator>
  <cp:lastModifiedBy>Andrew Brown</cp:lastModifiedBy>
  <cp:lastPrinted>2017-08-22T08:27:57Z</cp:lastPrinted>
  <dcterms:created xsi:type="dcterms:W3CDTF">2017-04-24T10:29:19Z</dcterms:created>
  <dcterms:modified xsi:type="dcterms:W3CDTF">2019-01-25T11:43:47Z</dcterms:modified>
</cp:coreProperties>
</file>